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240" windowHeight="853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B22" i="4" l="1"/>
  <c r="D11" i="2"/>
  <c r="C11" i="2"/>
  <c r="D24" i="2"/>
  <c r="C24" i="2"/>
  <c r="F24" i="2"/>
  <c r="E24" i="2"/>
  <c r="F49" i="2"/>
  <c r="F47" i="2"/>
  <c r="I47" i="2"/>
  <c r="G51" i="2" l="1"/>
  <c r="D11" i="4" l="1"/>
  <c r="F19" i="3" l="1"/>
  <c r="D10" i="2" l="1"/>
  <c r="D39" i="4" l="1"/>
  <c r="B39" i="4"/>
  <c r="B27" i="4"/>
  <c r="B26" i="4"/>
  <c r="B25" i="4"/>
  <c r="J52" i="2"/>
  <c r="I52" i="2"/>
  <c r="F20" i="3" s="1"/>
  <c r="H52" i="2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F16" i="3" s="1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C19" i="2"/>
  <c r="J19" i="2" s="1"/>
  <c r="C18" i="2"/>
  <c r="J18" i="2" s="1"/>
  <c r="C17" i="2"/>
  <c r="J17" i="2" s="1"/>
  <c r="C16" i="2"/>
  <c r="J16" i="2" s="1"/>
  <c r="C15" i="2"/>
  <c r="J15" i="2" s="1"/>
  <c r="J14" i="2"/>
  <c r="J13" i="2"/>
  <c r="I12" i="2"/>
  <c r="H10" i="2"/>
  <c r="G10" i="2"/>
  <c r="F10" i="2"/>
  <c r="E10" i="2"/>
  <c r="F9" i="2"/>
  <c r="E9" i="2"/>
  <c r="E29" i="2" l="1"/>
  <c r="D12" i="3"/>
  <c r="F25" i="3"/>
  <c r="F29" i="2"/>
  <c r="I25" i="2"/>
  <c r="J25" i="2"/>
  <c r="D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D12" i="4" s="1"/>
  <c r="K49" i="2"/>
  <c r="C9" i="2"/>
  <c r="C10" i="2"/>
  <c r="H9" i="2"/>
  <c r="H29" i="2" s="1"/>
  <c r="C29" i="2" l="1"/>
  <c r="C11" i="3"/>
  <c r="D20" i="3"/>
  <c r="B36" i="4"/>
  <c r="C15" i="3"/>
  <c r="B11" i="4"/>
  <c r="J10" i="2"/>
  <c r="J9" i="2"/>
  <c r="I10" i="2"/>
  <c r="I9" i="2"/>
  <c r="D9" i="2"/>
  <c r="D11" i="3" s="1"/>
  <c r="K52" i="2"/>
  <c r="I29" i="2" l="1"/>
  <c r="J29" i="2"/>
  <c r="J31" i="2" s="1"/>
  <c r="D13" i="4"/>
  <c r="C20" i="3"/>
  <c r="D29" i="2"/>
  <c r="B9" i="4"/>
  <c r="B13" i="4" s="1"/>
  <c r="K54" i="2" l="1"/>
  <c r="C25" i="3"/>
  <c r="D14" i="4"/>
  <c r="D15" i="4" s="1"/>
  <c r="B14" i="4"/>
  <c r="B15" i="4" s="1"/>
  <c r="D25" i="3" l="1"/>
  <c r="F27" i="3" s="1"/>
  <c r="B28" i="4"/>
  <c r="D35" i="4" l="1"/>
  <c r="D40" i="4" s="1"/>
  <c r="B35" i="4"/>
  <c r="B40" i="4" s="1"/>
  <c r="D27" i="3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<sst xmlns="http://schemas.openxmlformats.org/spreadsheetml/2006/main" count="176" uniqueCount="143">
  <si>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</si>
  <si>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</si>
  <si>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</si>
  <si>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</si>
  <si>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</si>
  <si>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</si>
  <si>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</si>
  <si>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</si>
  <si>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</si>
  <si>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</si>
  <si>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</si>
  <si>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</si>
  <si>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</si>
  <si>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</si>
  <si>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</si>
  <si>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</si>
  <si>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</si>
  <si>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</si>
  <si>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</si>
  <si>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</si>
  <si>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</si>
  <si>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</si>
  <si>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</si>
  <si>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</si>
  <si>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</si>
  <si>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</si>
  <si>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</si>
  <si>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</si>
  <si>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</si>
  <si>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</si>
  <si>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</si>
  <si>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</si>
  <si>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</si>
  <si>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</si>
  <si>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</si>
  <si>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</si>
  <si>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</si>
  <si>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</si>
  <si>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</si>
  <si>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</si>
  <si>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</si>
  <si>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</si>
  <si>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</si>
  <si>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</si>
  <si>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</si>
  <si>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</si>
  <si>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</si>
  <si>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</si>
  <si>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</si>
  <si>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</si>
  <si>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</si>
  <si>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</si>
  <si>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</si>
  <si>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</si>
  <si>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</si>
  <si>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</si>
  <si>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</si>
  <si>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</si>
  <si>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</si>
  <si>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</si>
  <si>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</si>
  <si>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</si>
  <si>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</si>
  <si>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</si>
  <si>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</si>
  <si>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</si>
  <si>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</si>
  <si>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</si>
  <si>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</si>
  <si>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</si>
  <si>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</si>
  <si>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</si>
  <si>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</si>
  <si>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</si>
  <si>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</si>
  <si>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</si>
  <si>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</si>
  <si>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</si>
  <si>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</si>
  <si>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</si>
  <si>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</si>
  <si>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</si>
  <si>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</si>
  <si>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</si>
  <si>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</si>
  <si>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</si>
  <si>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</si>
  <si>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</si>
  <si>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</si>
  <si>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</si>
  <si>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</si>
  <si>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</si>
  <si>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</si>
  <si>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</si>
  <si>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</si>
  <si>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</si>
  <si>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</si>
  <si>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</si>
  <si>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</si>
  <si>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</si>
  <si>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</si>
  <si>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</si>
  <si>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</si>
  <si>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</si>
  <si>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</si>
  <si>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</si>
  <si>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</si>
  <si>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</si>
  <si>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</si>
  <si>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</si>
  <si>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</si>
  <si>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</si>
  <si>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</si>
  <si>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</si>
  <si>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</si>
  <si>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</si>
  <si>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</si>
  <si>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</si>
  <si>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</si>
  <si>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</si>
  <si>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</si>
  <si>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</si>
  <si>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</si>
  <si>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</si>
  <si>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</si>
  <si>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</si>
  <si>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</si>
  <si>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</si>
  <si>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</si>
  <si>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</si>
  <si>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</si>
  <si>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</si>
  <si>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</si>
  <si>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</si>
  <si>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</si>
  <si>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</si>
  <si>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</si>
  <si>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</si>
  <si>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</si>
  <si>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</si>
  <si>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- Budget rectificatif ComUE</t>
  </si>
  <si>
    <t>Dépenses par destination et recettes par origine - budget rectificatif ComUE</t>
  </si>
  <si>
    <t>Situation patrimoniale - budget rectificatif ComUE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</si>
</sst>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50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11" fillId="0" borderId="2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3" fontId="9" fillId="8" borderId="14" xfId="1" applyNumberFormat="1" applyFont="1" applyFill="1" applyBorder="1" applyAlignment="1">
      <alignment horizontal="right" vertical="center" wrapText="1"/>
    </xf>
    <xf numFmtId="3" fontId="9" fillId="8" borderId="20" xfId="1" applyNumberFormat="1" applyFont="1" applyFill="1" applyBorder="1" applyAlignment="1">
      <alignment horizontal="right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8" xfId="1" applyFont="1" applyFill="1" applyBorder="1" applyAlignment="1">
      <alignment horizontal="center" vertical="center" wrapText="1"/>
    </xf>
    <xf numFmtId="0" fontId="11" fillId="9" borderId="19" xfId="1" applyFont="1" applyFill="1" applyBorder="1" applyAlignment="1">
      <alignment horizontal="center" vertical="center" wrapText="1"/>
    </xf>
    <xf numFmtId="3" fontId="9" fillId="0" borderId="0" xfId="1" applyNumberFormat="1" applyFont="1"/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11" fillId="10" borderId="2" xfId="1" applyFont="1" applyFill="1" applyBorder="1" applyAlignment="1">
      <alignment vertical="center" wrapText="1"/>
    </xf>
    <xf numFmtId="0" fontId="11" fillId="10" borderId="2" xfId="1" quotePrefix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wrapText="1"/>
    </xf>
    <xf numFmtId="3" fontId="11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9" borderId="2" xfId="0" applyNumberFormat="1" applyFont="1" applyFill="1" applyBorder="1" applyAlignment="1">
      <alignment vertical="center"/>
    </xf>
    <xf numFmtId="3" fontId="11" fillId="10" borderId="2" xfId="0" applyNumberFormat="1" applyFont="1" applyFill="1" applyBorder="1" applyAlignment="1">
      <alignment vertical="center"/>
    </xf>
    <xf numFmtId="0" fontId="11" fillId="10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10" borderId="2" xfId="1" applyFont="1" applyFill="1" applyBorder="1" applyAlignment="1">
      <alignment horizontal="center" vertical="center"/>
    </xf>
    <xf numFmtId="0" fontId="9" fillId="10" borderId="2" xfId="1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4" xfId="1" applyFont="1" applyFill="1" applyBorder="1" applyAlignment="1">
      <alignment horizontal="center" vertical="center" wrapText="1"/>
    </xf>
    <xf numFmtId="0" fontId="11" fillId="10" borderId="15" xfId="1" applyFont="1" applyFill="1" applyBorder="1" applyAlignment="1">
      <alignment horizontal="center" vertical="center" wrapText="1"/>
    </xf>
    <xf numFmtId="0" fontId="11" fillId="10" borderId="3" xfId="1" applyFont="1" applyFill="1" applyBorder="1" applyAlignment="1">
      <alignment horizontal="center" vertical="center" wrapText="1"/>
    </xf>
    <xf numFmtId="0" fontId="11" fillId="10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10" borderId="2" xfId="3" applyFont="1" applyFill="1" applyBorder="1" applyAlignment="1">
      <alignment horizontal="center" vertical="center"/>
    </xf>
    <xf numFmtId="0" fontId="9" fillId="10" borderId="2" xfId="3" applyFont="1" applyFill="1" applyBorder="1" applyAlignment="1">
      <alignment horizontal="center" vertical="center"/>
    </xf>
    <xf numFmtId="0" fontId="9" fillId="10" borderId="3" xfId="3" applyFont="1" applyFill="1" applyBorder="1" applyAlignment="1">
      <alignment horizontal="center" vertical="center"/>
    </xf>
    <xf numFmtId="0" fontId="11" fillId="10" borderId="13" xfId="3" applyFont="1" applyFill="1" applyBorder="1" applyAlignment="1">
      <alignment horizontal="center" vertical="center" wrapText="1"/>
    </xf>
    <xf numFmtId="0" fontId="11" fillId="10" borderId="14" xfId="3" applyFont="1" applyFill="1" applyBorder="1" applyAlignment="1">
      <alignment horizontal="center" vertical="center" wrapText="1"/>
    </xf>
    <xf numFmtId="0" fontId="11" fillId="10" borderId="15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10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raout\AppData\Local\Temp\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  <cell r="C7">
            <v>1499597</v>
          </cell>
          <cell r="D7">
            <v>1499597</v>
          </cell>
          <cell r="E7">
            <v>174150</v>
          </cell>
          <cell r="F7">
            <v>174150</v>
          </cell>
          <cell r="G7">
            <v>28870097</v>
          </cell>
          <cell r="H7">
            <v>28870097</v>
          </cell>
        </row>
        <row r="8">
          <cell r="B8" t="str">
            <v>D102 Formation initiale et continue Master</v>
          </cell>
          <cell r="C8">
            <v>500537</v>
          </cell>
          <cell r="D8">
            <v>500537</v>
          </cell>
          <cell r="E8">
            <v>82503</v>
          </cell>
          <cell r="F8">
            <v>82503</v>
          </cell>
          <cell r="G8">
            <v>12123803</v>
          </cell>
          <cell r="H8">
            <v>12123803</v>
          </cell>
        </row>
        <row r="9">
          <cell r="B9" t="str">
            <v>D103 Formation initiale et continue Doctorat</v>
          </cell>
          <cell r="C9">
            <v>119800</v>
          </cell>
          <cell r="D9">
            <v>119800</v>
          </cell>
          <cell r="G9">
            <v>814000</v>
          </cell>
          <cell r="H9">
            <v>814000</v>
          </cell>
        </row>
        <row r="10">
          <cell r="B10" t="str">
            <v>D105 Bibliothèques et documentation</v>
          </cell>
          <cell r="C10">
            <v>1330981</v>
          </cell>
          <cell r="D10">
            <v>1330981</v>
          </cell>
          <cell r="E10">
            <v>74000</v>
          </cell>
          <cell r="F10">
            <v>74000</v>
          </cell>
          <cell r="G10">
            <v>3993814</v>
          </cell>
          <cell r="H10">
            <v>3993814</v>
          </cell>
        </row>
        <row r="11">
          <cell r="B11" t="str">
            <v>D106 Recherche universitaire - science de la vie, biotechnologie et santé</v>
          </cell>
          <cell r="C11">
            <v>12000</v>
          </cell>
          <cell r="D11">
            <v>12000</v>
          </cell>
          <cell r="E11">
            <v>32500</v>
          </cell>
          <cell r="F11">
            <v>32500</v>
          </cell>
        </row>
        <row r="12">
          <cell r="B12" t="str">
            <v>D111 Recherche universitaire - science de l'homme et de la société</v>
          </cell>
          <cell r="C12">
            <v>933390</v>
          </cell>
          <cell r="D12">
            <v>933390</v>
          </cell>
          <cell r="E12">
            <v>157400</v>
          </cell>
          <cell r="F12">
            <v>157400</v>
          </cell>
          <cell r="G12">
            <v>24947501</v>
          </cell>
          <cell r="H12">
            <v>24947501</v>
          </cell>
        </row>
        <row r="13">
          <cell r="B13" t="str">
            <v>D113 Diffusion des savoirs et musées</v>
          </cell>
          <cell r="C13">
            <v>1902410</v>
          </cell>
          <cell r="D13">
            <v>1902410</v>
          </cell>
          <cell r="E13">
            <v>10000</v>
          </cell>
          <cell r="F13">
            <v>10000</v>
          </cell>
          <cell r="G13">
            <v>924907</v>
          </cell>
          <cell r="H13">
            <v>924907</v>
          </cell>
        </row>
        <row r="14">
          <cell r="B14" t="str">
            <v>D114 Immobilier</v>
          </cell>
          <cell r="C14">
            <v>3845600</v>
          </cell>
          <cell r="D14">
            <v>3845600</v>
          </cell>
          <cell r="E14">
            <v>81500</v>
          </cell>
          <cell r="F14">
            <v>81500</v>
          </cell>
          <cell r="G14">
            <v>2828199</v>
          </cell>
          <cell r="H14">
            <v>2828199</v>
          </cell>
        </row>
        <row r="15">
          <cell r="B15" t="str">
            <v>D115 Pilotage et support</v>
          </cell>
          <cell r="C15">
            <v>3311911</v>
          </cell>
          <cell r="D15">
            <v>3311911</v>
          </cell>
          <cell r="E15">
            <v>608024</v>
          </cell>
          <cell r="F15">
            <v>608024</v>
          </cell>
          <cell r="G15">
            <v>11253408</v>
          </cell>
          <cell r="H15">
            <v>11253408</v>
          </cell>
        </row>
        <row r="16">
          <cell r="C16">
            <v>608330</v>
          </cell>
          <cell r="D16">
            <v>608330</v>
          </cell>
          <cell r="E16">
            <v>11000</v>
          </cell>
          <cell r="F16">
            <v>11000</v>
          </cell>
          <cell r="G16">
            <v>298655</v>
          </cell>
          <cell r="H16">
            <v>298655</v>
          </cell>
        </row>
        <row r="17">
          <cell r="B17" t="str">
            <v>D201 Aides directes aux étudiants</v>
          </cell>
          <cell r="C17">
            <v>2755</v>
          </cell>
          <cell r="D17">
            <v>2755</v>
          </cell>
          <cell r="G17">
            <v>169755</v>
          </cell>
          <cell r="H17">
            <v>169755</v>
          </cell>
        </row>
        <row r="18">
          <cell r="B18" t="str">
            <v>D203 Santé des étudiants activité associative</v>
          </cell>
          <cell r="C18">
            <v>605575</v>
          </cell>
          <cell r="D18">
            <v>605575</v>
          </cell>
          <cell r="E18">
            <v>11000</v>
          </cell>
          <cell r="F18">
            <v>11000</v>
          </cell>
          <cell r="G18">
            <v>128900</v>
          </cell>
          <cell r="H18">
            <v>128900</v>
          </cell>
        </row>
        <row r="19">
          <cell r="C19">
            <v>14064556</v>
          </cell>
          <cell r="D19">
            <v>14064556</v>
          </cell>
          <cell r="E19">
            <v>1231077</v>
          </cell>
          <cell r="F19">
            <v>1231077</v>
          </cell>
          <cell r="G19">
            <v>86054384</v>
          </cell>
          <cell r="H19">
            <v>86054384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2" sqref="B2"/>
    </sheetView>
  </sheetViews>
  <sheetFormatPr baseColWidth="10" defaultRowHeight="15" x14ac:dyDescent="0.25"/>
  <cols>
    <col min="1" max="1" width="1.7109375" style="90" customWidth="1"/>
    <col min="2" max="2" width="45.7109375" style="90" customWidth="1"/>
    <col min="3" max="4" width="16.42578125" style="90" bestFit="1" customWidth="1"/>
    <col min="5" max="5" width="3.42578125" style="90" customWidth="1"/>
    <col min="6" max="6" width="15.7109375" style="90" customWidth="1"/>
    <col min="7" max="7" width="45.7109375" style="90" customWidth="1"/>
    <col min="8" max="8" width="0" style="90" hidden="1" customWidth="1"/>
    <col min="9" max="256" width="11.42578125" style="90"/>
    <col min="257" max="257" width="1.7109375" style="90" customWidth="1"/>
    <col min="258" max="258" width="45.7109375" style="90" customWidth="1"/>
    <col min="259" max="260" width="16.42578125" style="90" bestFit="1" customWidth="1"/>
    <col min="261" max="261" width="3.42578125" style="90" customWidth="1"/>
    <col min="262" max="262" width="15.7109375" style="90" customWidth="1"/>
    <col min="263" max="263" width="45.7109375" style="90" customWidth="1"/>
    <col min="264" max="264" width="0" style="90" hidden="1" customWidth="1"/>
    <col min="265" max="512" width="11.42578125" style="90"/>
    <col min="513" max="513" width="1.7109375" style="90" customWidth="1"/>
    <col min="514" max="514" width="45.7109375" style="90" customWidth="1"/>
    <col min="515" max="516" width="16.42578125" style="90" bestFit="1" customWidth="1"/>
    <col min="517" max="517" width="3.42578125" style="90" customWidth="1"/>
    <col min="518" max="518" width="15.7109375" style="90" customWidth="1"/>
    <col min="519" max="519" width="45.7109375" style="90" customWidth="1"/>
    <col min="520" max="520" width="0" style="90" hidden="1" customWidth="1"/>
    <col min="521" max="768" width="11.42578125" style="90"/>
    <col min="769" max="769" width="1.7109375" style="90" customWidth="1"/>
    <col min="770" max="770" width="45.7109375" style="90" customWidth="1"/>
    <col min="771" max="772" width="16.42578125" style="90" bestFit="1" customWidth="1"/>
    <col min="773" max="773" width="3.42578125" style="90" customWidth="1"/>
    <col min="774" max="774" width="15.7109375" style="90" customWidth="1"/>
    <col min="775" max="775" width="45.7109375" style="90" customWidth="1"/>
    <col min="776" max="776" width="0" style="90" hidden="1" customWidth="1"/>
    <col min="777" max="1024" width="11.42578125" style="90"/>
    <col min="1025" max="1025" width="1.7109375" style="90" customWidth="1"/>
    <col min="1026" max="1026" width="45.7109375" style="90" customWidth="1"/>
    <col min="1027" max="1028" width="16.42578125" style="90" bestFit="1" customWidth="1"/>
    <col min="1029" max="1029" width="3.42578125" style="90" customWidth="1"/>
    <col min="1030" max="1030" width="15.7109375" style="90" customWidth="1"/>
    <col min="1031" max="1031" width="45.7109375" style="90" customWidth="1"/>
    <col min="1032" max="1032" width="0" style="90" hidden="1" customWidth="1"/>
    <col min="1033" max="1280" width="11.42578125" style="90"/>
    <col min="1281" max="1281" width="1.7109375" style="90" customWidth="1"/>
    <col min="1282" max="1282" width="45.7109375" style="90" customWidth="1"/>
    <col min="1283" max="1284" width="16.42578125" style="90" bestFit="1" customWidth="1"/>
    <col min="1285" max="1285" width="3.42578125" style="90" customWidth="1"/>
    <col min="1286" max="1286" width="15.7109375" style="90" customWidth="1"/>
    <col min="1287" max="1287" width="45.7109375" style="90" customWidth="1"/>
    <col min="1288" max="1288" width="0" style="90" hidden="1" customWidth="1"/>
    <col min="1289" max="1536" width="11.42578125" style="90"/>
    <col min="1537" max="1537" width="1.7109375" style="90" customWidth="1"/>
    <col min="1538" max="1538" width="45.7109375" style="90" customWidth="1"/>
    <col min="1539" max="1540" width="16.42578125" style="90" bestFit="1" customWidth="1"/>
    <col min="1541" max="1541" width="3.42578125" style="90" customWidth="1"/>
    <col min="1542" max="1542" width="15.7109375" style="90" customWidth="1"/>
    <col min="1543" max="1543" width="45.7109375" style="90" customWidth="1"/>
    <col min="1544" max="1544" width="0" style="90" hidden="1" customWidth="1"/>
    <col min="1545" max="1792" width="11.42578125" style="90"/>
    <col min="1793" max="1793" width="1.7109375" style="90" customWidth="1"/>
    <col min="1794" max="1794" width="45.7109375" style="90" customWidth="1"/>
    <col min="1795" max="1796" width="16.42578125" style="90" bestFit="1" customWidth="1"/>
    <col min="1797" max="1797" width="3.42578125" style="90" customWidth="1"/>
    <col min="1798" max="1798" width="15.7109375" style="90" customWidth="1"/>
    <col min="1799" max="1799" width="45.7109375" style="90" customWidth="1"/>
    <col min="1800" max="1800" width="0" style="90" hidden="1" customWidth="1"/>
    <col min="1801" max="2048" width="11.42578125" style="90"/>
    <col min="2049" max="2049" width="1.7109375" style="90" customWidth="1"/>
    <col min="2050" max="2050" width="45.7109375" style="90" customWidth="1"/>
    <col min="2051" max="2052" width="16.42578125" style="90" bestFit="1" customWidth="1"/>
    <col min="2053" max="2053" width="3.42578125" style="90" customWidth="1"/>
    <col min="2054" max="2054" width="15.7109375" style="90" customWidth="1"/>
    <col min="2055" max="2055" width="45.7109375" style="90" customWidth="1"/>
    <col min="2056" max="2056" width="0" style="90" hidden="1" customWidth="1"/>
    <col min="2057" max="2304" width="11.42578125" style="90"/>
    <col min="2305" max="2305" width="1.7109375" style="90" customWidth="1"/>
    <col min="2306" max="2306" width="45.7109375" style="90" customWidth="1"/>
    <col min="2307" max="2308" width="16.42578125" style="90" bestFit="1" customWidth="1"/>
    <col min="2309" max="2309" width="3.42578125" style="90" customWidth="1"/>
    <col min="2310" max="2310" width="15.7109375" style="90" customWidth="1"/>
    <col min="2311" max="2311" width="45.7109375" style="90" customWidth="1"/>
    <col min="2312" max="2312" width="0" style="90" hidden="1" customWidth="1"/>
    <col min="2313" max="2560" width="11.42578125" style="90"/>
    <col min="2561" max="2561" width="1.7109375" style="90" customWidth="1"/>
    <col min="2562" max="2562" width="45.7109375" style="90" customWidth="1"/>
    <col min="2563" max="2564" width="16.42578125" style="90" bestFit="1" customWidth="1"/>
    <col min="2565" max="2565" width="3.42578125" style="90" customWidth="1"/>
    <col min="2566" max="2566" width="15.7109375" style="90" customWidth="1"/>
    <col min="2567" max="2567" width="45.7109375" style="90" customWidth="1"/>
    <col min="2568" max="2568" width="0" style="90" hidden="1" customWidth="1"/>
    <col min="2569" max="2816" width="11.42578125" style="90"/>
    <col min="2817" max="2817" width="1.7109375" style="90" customWidth="1"/>
    <col min="2818" max="2818" width="45.7109375" style="90" customWidth="1"/>
    <col min="2819" max="2820" width="16.42578125" style="90" bestFit="1" customWidth="1"/>
    <col min="2821" max="2821" width="3.42578125" style="90" customWidth="1"/>
    <col min="2822" max="2822" width="15.7109375" style="90" customWidth="1"/>
    <col min="2823" max="2823" width="45.7109375" style="90" customWidth="1"/>
    <col min="2824" max="2824" width="0" style="90" hidden="1" customWidth="1"/>
    <col min="2825" max="3072" width="11.42578125" style="90"/>
    <col min="3073" max="3073" width="1.7109375" style="90" customWidth="1"/>
    <col min="3074" max="3074" width="45.7109375" style="90" customWidth="1"/>
    <col min="3075" max="3076" width="16.42578125" style="90" bestFit="1" customWidth="1"/>
    <col min="3077" max="3077" width="3.42578125" style="90" customWidth="1"/>
    <col min="3078" max="3078" width="15.7109375" style="90" customWidth="1"/>
    <col min="3079" max="3079" width="45.7109375" style="90" customWidth="1"/>
    <col min="3080" max="3080" width="0" style="90" hidden="1" customWidth="1"/>
    <col min="3081" max="3328" width="11.42578125" style="90"/>
    <col min="3329" max="3329" width="1.7109375" style="90" customWidth="1"/>
    <col min="3330" max="3330" width="45.7109375" style="90" customWidth="1"/>
    <col min="3331" max="3332" width="16.42578125" style="90" bestFit="1" customWidth="1"/>
    <col min="3333" max="3333" width="3.42578125" style="90" customWidth="1"/>
    <col min="3334" max="3334" width="15.7109375" style="90" customWidth="1"/>
    <col min="3335" max="3335" width="45.7109375" style="90" customWidth="1"/>
    <col min="3336" max="3336" width="0" style="90" hidden="1" customWidth="1"/>
    <col min="3337" max="3584" width="11.42578125" style="90"/>
    <col min="3585" max="3585" width="1.7109375" style="90" customWidth="1"/>
    <col min="3586" max="3586" width="45.7109375" style="90" customWidth="1"/>
    <col min="3587" max="3588" width="16.42578125" style="90" bestFit="1" customWidth="1"/>
    <col min="3589" max="3589" width="3.42578125" style="90" customWidth="1"/>
    <col min="3590" max="3590" width="15.7109375" style="90" customWidth="1"/>
    <col min="3591" max="3591" width="45.7109375" style="90" customWidth="1"/>
    <col min="3592" max="3592" width="0" style="90" hidden="1" customWidth="1"/>
    <col min="3593" max="3840" width="11.42578125" style="90"/>
    <col min="3841" max="3841" width="1.7109375" style="90" customWidth="1"/>
    <col min="3842" max="3842" width="45.7109375" style="90" customWidth="1"/>
    <col min="3843" max="3844" width="16.42578125" style="90" bestFit="1" customWidth="1"/>
    <col min="3845" max="3845" width="3.42578125" style="90" customWidth="1"/>
    <col min="3846" max="3846" width="15.7109375" style="90" customWidth="1"/>
    <col min="3847" max="3847" width="45.7109375" style="90" customWidth="1"/>
    <col min="3848" max="3848" width="0" style="90" hidden="1" customWidth="1"/>
    <col min="3849" max="4096" width="11.42578125" style="90"/>
    <col min="4097" max="4097" width="1.7109375" style="90" customWidth="1"/>
    <col min="4098" max="4098" width="45.7109375" style="90" customWidth="1"/>
    <col min="4099" max="4100" width="16.42578125" style="90" bestFit="1" customWidth="1"/>
    <col min="4101" max="4101" width="3.42578125" style="90" customWidth="1"/>
    <col min="4102" max="4102" width="15.7109375" style="90" customWidth="1"/>
    <col min="4103" max="4103" width="45.7109375" style="90" customWidth="1"/>
    <col min="4104" max="4104" width="0" style="90" hidden="1" customWidth="1"/>
    <col min="4105" max="4352" width="11.42578125" style="90"/>
    <col min="4353" max="4353" width="1.7109375" style="90" customWidth="1"/>
    <col min="4354" max="4354" width="45.7109375" style="90" customWidth="1"/>
    <col min="4355" max="4356" width="16.42578125" style="90" bestFit="1" customWidth="1"/>
    <col min="4357" max="4357" width="3.42578125" style="90" customWidth="1"/>
    <col min="4358" max="4358" width="15.7109375" style="90" customWidth="1"/>
    <col min="4359" max="4359" width="45.7109375" style="90" customWidth="1"/>
    <col min="4360" max="4360" width="0" style="90" hidden="1" customWidth="1"/>
    <col min="4361" max="4608" width="11.42578125" style="90"/>
    <col min="4609" max="4609" width="1.7109375" style="90" customWidth="1"/>
    <col min="4610" max="4610" width="45.7109375" style="90" customWidth="1"/>
    <col min="4611" max="4612" width="16.42578125" style="90" bestFit="1" customWidth="1"/>
    <col min="4613" max="4613" width="3.42578125" style="90" customWidth="1"/>
    <col min="4614" max="4614" width="15.7109375" style="90" customWidth="1"/>
    <col min="4615" max="4615" width="45.7109375" style="90" customWidth="1"/>
    <col min="4616" max="4616" width="0" style="90" hidden="1" customWidth="1"/>
    <col min="4617" max="4864" width="11.42578125" style="90"/>
    <col min="4865" max="4865" width="1.7109375" style="90" customWidth="1"/>
    <col min="4866" max="4866" width="45.7109375" style="90" customWidth="1"/>
    <col min="4867" max="4868" width="16.42578125" style="90" bestFit="1" customWidth="1"/>
    <col min="4869" max="4869" width="3.42578125" style="90" customWidth="1"/>
    <col min="4870" max="4870" width="15.7109375" style="90" customWidth="1"/>
    <col min="4871" max="4871" width="45.7109375" style="90" customWidth="1"/>
    <col min="4872" max="4872" width="0" style="90" hidden="1" customWidth="1"/>
    <col min="4873" max="5120" width="11.42578125" style="90"/>
    <col min="5121" max="5121" width="1.7109375" style="90" customWidth="1"/>
    <col min="5122" max="5122" width="45.7109375" style="90" customWidth="1"/>
    <col min="5123" max="5124" width="16.42578125" style="90" bestFit="1" customWidth="1"/>
    <col min="5125" max="5125" width="3.42578125" style="90" customWidth="1"/>
    <col min="5126" max="5126" width="15.7109375" style="90" customWidth="1"/>
    <col min="5127" max="5127" width="45.7109375" style="90" customWidth="1"/>
    <col min="5128" max="5128" width="0" style="90" hidden="1" customWidth="1"/>
    <col min="5129" max="5376" width="11.42578125" style="90"/>
    <col min="5377" max="5377" width="1.7109375" style="90" customWidth="1"/>
    <col min="5378" max="5378" width="45.7109375" style="90" customWidth="1"/>
    <col min="5379" max="5380" width="16.42578125" style="90" bestFit="1" customWidth="1"/>
    <col min="5381" max="5381" width="3.42578125" style="90" customWidth="1"/>
    <col min="5382" max="5382" width="15.7109375" style="90" customWidth="1"/>
    <col min="5383" max="5383" width="45.7109375" style="90" customWidth="1"/>
    <col min="5384" max="5384" width="0" style="90" hidden="1" customWidth="1"/>
    <col min="5385" max="5632" width="11.42578125" style="90"/>
    <col min="5633" max="5633" width="1.7109375" style="90" customWidth="1"/>
    <col min="5634" max="5634" width="45.7109375" style="90" customWidth="1"/>
    <col min="5635" max="5636" width="16.42578125" style="90" bestFit="1" customWidth="1"/>
    <col min="5637" max="5637" width="3.42578125" style="90" customWidth="1"/>
    <col min="5638" max="5638" width="15.7109375" style="90" customWidth="1"/>
    <col min="5639" max="5639" width="45.7109375" style="90" customWidth="1"/>
    <col min="5640" max="5640" width="0" style="90" hidden="1" customWidth="1"/>
    <col min="5641" max="5888" width="11.42578125" style="90"/>
    <col min="5889" max="5889" width="1.7109375" style="90" customWidth="1"/>
    <col min="5890" max="5890" width="45.7109375" style="90" customWidth="1"/>
    <col min="5891" max="5892" width="16.42578125" style="90" bestFit="1" customWidth="1"/>
    <col min="5893" max="5893" width="3.42578125" style="90" customWidth="1"/>
    <col min="5894" max="5894" width="15.7109375" style="90" customWidth="1"/>
    <col min="5895" max="5895" width="45.7109375" style="90" customWidth="1"/>
    <col min="5896" max="5896" width="0" style="90" hidden="1" customWidth="1"/>
    <col min="5897" max="6144" width="11.42578125" style="90"/>
    <col min="6145" max="6145" width="1.7109375" style="90" customWidth="1"/>
    <col min="6146" max="6146" width="45.7109375" style="90" customWidth="1"/>
    <col min="6147" max="6148" width="16.42578125" style="90" bestFit="1" customWidth="1"/>
    <col min="6149" max="6149" width="3.42578125" style="90" customWidth="1"/>
    <col min="6150" max="6150" width="15.7109375" style="90" customWidth="1"/>
    <col min="6151" max="6151" width="45.7109375" style="90" customWidth="1"/>
    <col min="6152" max="6152" width="0" style="90" hidden="1" customWidth="1"/>
    <col min="6153" max="6400" width="11.42578125" style="90"/>
    <col min="6401" max="6401" width="1.7109375" style="90" customWidth="1"/>
    <col min="6402" max="6402" width="45.7109375" style="90" customWidth="1"/>
    <col min="6403" max="6404" width="16.42578125" style="90" bestFit="1" customWidth="1"/>
    <col min="6405" max="6405" width="3.42578125" style="90" customWidth="1"/>
    <col min="6406" max="6406" width="15.7109375" style="90" customWidth="1"/>
    <col min="6407" max="6407" width="45.7109375" style="90" customWidth="1"/>
    <col min="6408" max="6408" width="0" style="90" hidden="1" customWidth="1"/>
    <col min="6409" max="6656" width="11.42578125" style="90"/>
    <col min="6657" max="6657" width="1.7109375" style="90" customWidth="1"/>
    <col min="6658" max="6658" width="45.7109375" style="90" customWidth="1"/>
    <col min="6659" max="6660" width="16.42578125" style="90" bestFit="1" customWidth="1"/>
    <col min="6661" max="6661" width="3.42578125" style="90" customWidth="1"/>
    <col min="6662" max="6662" width="15.7109375" style="90" customWidth="1"/>
    <col min="6663" max="6663" width="45.7109375" style="90" customWidth="1"/>
    <col min="6664" max="6664" width="0" style="90" hidden="1" customWidth="1"/>
    <col min="6665" max="6912" width="11.42578125" style="90"/>
    <col min="6913" max="6913" width="1.7109375" style="90" customWidth="1"/>
    <col min="6914" max="6914" width="45.7109375" style="90" customWidth="1"/>
    <col min="6915" max="6916" width="16.42578125" style="90" bestFit="1" customWidth="1"/>
    <col min="6917" max="6917" width="3.42578125" style="90" customWidth="1"/>
    <col min="6918" max="6918" width="15.7109375" style="90" customWidth="1"/>
    <col min="6919" max="6919" width="45.7109375" style="90" customWidth="1"/>
    <col min="6920" max="6920" width="0" style="90" hidden="1" customWidth="1"/>
    <col min="6921" max="7168" width="11.42578125" style="90"/>
    <col min="7169" max="7169" width="1.7109375" style="90" customWidth="1"/>
    <col min="7170" max="7170" width="45.7109375" style="90" customWidth="1"/>
    <col min="7171" max="7172" width="16.42578125" style="90" bestFit="1" customWidth="1"/>
    <col min="7173" max="7173" width="3.42578125" style="90" customWidth="1"/>
    <col min="7174" max="7174" width="15.7109375" style="90" customWidth="1"/>
    <col min="7175" max="7175" width="45.7109375" style="90" customWidth="1"/>
    <col min="7176" max="7176" width="0" style="90" hidden="1" customWidth="1"/>
    <col min="7177" max="7424" width="11.42578125" style="90"/>
    <col min="7425" max="7425" width="1.7109375" style="90" customWidth="1"/>
    <col min="7426" max="7426" width="45.7109375" style="90" customWidth="1"/>
    <col min="7427" max="7428" width="16.42578125" style="90" bestFit="1" customWidth="1"/>
    <col min="7429" max="7429" width="3.42578125" style="90" customWidth="1"/>
    <col min="7430" max="7430" width="15.7109375" style="90" customWidth="1"/>
    <col min="7431" max="7431" width="45.7109375" style="90" customWidth="1"/>
    <col min="7432" max="7432" width="0" style="90" hidden="1" customWidth="1"/>
    <col min="7433" max="7680" width="11.42578125" style="90"/>
    <col min="7681" max="7681" width="1.7109375" style="90" customWidth="1"/>
    <col min="7682" max="7682" width="45.7109375" style="90" customWidth="1"/>
    <col min="7683" max="7684" width="16.42578125" style="90" bestFit="1" customWidth="1"/>
    <col min="7685" max="7685" width="3.42578125" style="90" customWidth="1"/>
    <col min="7686" max="7686" width="15.7109375" style="90" customWidth="1"/>
    <col min="7687" max="7687" width="45.7109375" style="90" customWidth="1"/>
    <col min="7688" max="7688" width="0" style="90" hidden="1" customWidth="1"/>
    <col min="7689" max="7936" width="11.42578125" style="90"/>
    <col min="7937" max="7937" width="1.7109375" style="90" customWidth="1"/>
    <col min="7938" max="7938" width="45.7109375" style="90" customWidth="1"/>
    <col min="7939" max="7940" width="16.42578125" style="90" bestFit="1" customWidth="1"/>
    <col min="7941" max="7941" width="3.42578125" style="90" customWidth="1"/>
    <col min="7942" max="7942" width="15.7109375" style="90" customWidth="1"/>
    <col min="7943" max="7943" width="45.7109375" style="90" customWidth="1"/>
    <col min="7944" max="7944" width="0" style="90" hidden="1" customWidth="1"/>
    <col min="7945" max="8192" width="11.42578125" style="90"/>
    <col min="8193" max="8193" width="1.7109375" style="90" customWidth="1"/>
    <col min="8194" max="8194" width="45.7109375" style="90" customWidth="1"/>
    <col min="8195" max="8196" width="16.42578125" style="90" bestFit="1" customWidth="1"/>
    <col min="8197" max="8197" width="3.42578125" style="90" customWidth="1"/>
    <col min="8198" max="8198" width="15.7109375" style="90" customWidth="1"/>
    <col min="8199" max="8199" width="45.7109375" style="90" customWidth="1"/>
    <col min="8200" max="8200" width="0" style="90" hidden="1" customWidth="1"/>
    <col min="8201" max="8448" width="11.42578125" style="90"/>
    <col min="8449" max="8449" width="1.7109375" style="90" customWidth="1"/>
    <col min="8450" max="8450" width="45.7109375" style="90" customWidth="1"/>
    <col min="8451" max="8452" width="16.42578125" style="90" bestFit="1" customWidth="1"/>
    <col min="8453" max="8453" width="3.42578125" style="90" customWidth="1"/>
    <col min="8454" max="8454" width="15.7109375" style="90" customWidth="1"/>
    <col min="8455" max="8455" width="45.7109375" style="90" customWidth="1"/>
    <col min="8456" max="8456" width="0" style="90" hidden="1" customWidth="1"/>
    <col min="8457" max="8704" width="11.42578125" style="90"/>
    <col min="8705" max="8705" width="1.7109375" style="90" customWidth="1"/>
    <col min="8706" max="8706" width="45.7109375" style="90" customWidth="1"/>
    <col min="8707" max="8708" width="16.42578125" style="90" bestFit="1" customWidth="1"/>
    <col min="8709" max="8709" width="3.42578125" style="90" customWidth="1"/>
    <col min="8710" max="8710" width="15.7109375" style="90" customWidth="1"/>
    <col min="8711" max="8711" width="45.7109375" style="90" customWidth="1"/>
    <col min="8712" max="8712" width="0" style="90" hidden="1" customWidth="1"/>
    <col min="8713" max="8960" width="11.42578125" style="90"/>
    <col min="8961" max="8961" width="1.7109375" style="90" customWidth="1"/>
    <col min="8962" max="8962" width="45.7109375" style="90" customWidth="1"/>
    <col min="8963" max="8964" width="16.42578125" style="90" bestFit="1" customWidth="1"/>
    <col min="8965" max="8965" width="3.42578125" style="90" customWidth="1"/>
    <col min="8966" max="8966" width="15.7109375" style="90" customWidth="1"/>
    <col min="8967" max="8967" width="45.7109375" style="90" customWidth="1"/>
    <col min="8968" max="8968" width="0" style="90" hidden="1" customWidth="1"/>
    <col min="8969" max="9216" width="11.42578125" style="90"/>
    <col min="9217" max="9217" width="1.7109375" style="90" customWidth="1"/>
    <col min="9218" max="9218" width="45.7109375" style="90" customWidth="1"/>
    <col min="9219" max="9220" width="16.42578125" style="90" bestFit="1" customWidth="1"/>
    <col min="9221" max="9221" width="3.42578125" style="90" customWidth="1"/>
    <col min="9222" max="9222" width="15.7109375" style="90" customWidth="1"/>
    <col min="9223" max="9223" width="45.7109375" style="90" customWidth="1"/>
    <col min="9224" max="9224" width="0" style="90" hidden="1" customWidth="1"/>
    <col min="9225" max="9472" width="11.42578125" style="90"/>
    <col min="9473" max="9473" width="1.7109375" style="90" customWidth="1"/>
    <col min="9474" max="9474" width="45.7109375" style="90" customWidth="1"/>
    <col min="9475" max="9476" width="16.42578125" style="90" bestFit="1" customWidth="1"/>
    <col min="9477" max="9477" width="3.42578125" style="90" customWidth="1"/>
    <col min="9478" max="9478" width="15.7109375" style="90" customWidth="1"/>
    <col min="9479" max="9479" width="45.7109375" style="90" customWidth="1"/>
    <col min="9480" max="9480" width="0" style="90" hidden="1" customWidth="1"/>
    <col min="9481" max="9728" width="11.42578125" style="90"/>
    <col min="9729" max="9729" width="1.7109375" style="90" customWidth="1"/>
    <col min="9730" max="9730" width="45.7109375" style="90" customWidth="1"/>
    <col min="9731" max="9732" width="16.42578125" style="90" bestFit="1" customWidth="1"/>
    <col min="9733" max="9733" width="3.42578125" style="90" customWidth="1"/>
    <col min="9734" max="9734" width="15.7109375" style="90" customWidth="1"/>
    <col min="9735" max="9735" width="45.7109375" style="90" customWidth="1"/>
    <col min="9736" max="9736" width="0" style="90" hidden="1" customWidth="1"/>
    <col min="9737" max="9984" width="11.42578125" style="90"/>
    <col min="9985" max="9985" width="1.7109375" style="90" customWidth="1"/>
    <col min="9986" max="9986" width="45.7109375" style="90" customWidth="1"/>
    <col min="9987" max="9988" width="16.42578125" style="90" bestFit="1" customWidth="1"/>
    <col min="9989" max="9989" width="3.42578125" style="90" customWidth="1"/>
    <col min="9990" max="9990" width="15.7109375" style="90" customWidth="1"/>
    <col min="9991" max="9991" width="45.7109375" style="90" customWidth="1"/>
    <col min="9992" max="9992" width="0" style="90" hidden="1" customWidth="1"/>
    <col min="9993" max="10240" width="11.42578125" style="90"/>
    <col min="10241" max="10241" width="1.7109375" style="90" customWidth="1"/>
    <col min="10242" max="10242" width="45.7109375" style="90" customWidth="1"/>
    <col min="10243" max="10244" width="16.42578125" style="90" bestFit="1" customWidth="1"/>
    <col min="10245" max="10245" width="3.42578125" style="90" customWidth="1"/>
    <col min="10246" max="10246" width="15.7109375" style="90" customWidth="1"/>
    <col min="10247" max="10247" width="45.7109375" style="90" customWidth="1"/>
    <col min="10248" max="10248" width="0" style="90" hidden="1" customWidth="1"/>
    <col min="10249" max="10496" width="11.42578125" style="90"/>
    <col min="10497" max="10497" width="1.7109375" style="90" customWidth="1"/>
    <col min="10498" max="10498" width="45.7109375" style="90" customWidth="1"/>
    <col min="10499" max="10500" width="16.42578125" style="90" bestFit="1" customWidth="1"/>
    <col min="10501" max="10501" width="3.42578125" style="90" customWidth="1"/>
    <col min="10502" max="10502" width="15.7109375" style="90" customWidth="1"/>
    <col min="10503" max="10503" width="45.7109375" style="90" customWidth="1"/>
    <col min="10504" max="10504" width="0" style="90" hidden="1" customWidth="1"/>
    <col min="10505" max="10752" width="11.42578125" style="90"/>
    <col min="10753" max="10753" width="1.7109375" style="90" customWidth="1"/>
    <col min="10754" max="10754" width="45.7109375" style="90" customWidth="1"/>
    <col min="10755" max="10756" width="16.42578125" style="90" bestFit="1" customWidth="1"/>
    <col min="10757" max="10757" width="3.42578125" style="90" customWidth="1"/>
    <col min="10758" max="10758" width="15.7109375" style="90" customWidth="1"/>
    <col min="10759" max="10759" width="45.7109375" style="90" customWidth="1"/>
    <col min="10760" max="10760" width="0" style="90" hidden="1" customWidth="1"/>
    <col min="10761" max="11008" width="11.42578125" style="90"/>
    <col min="11009" max="11009" width="1.7109375" style="90" customWidth="1"/>
    <col min="11010" max="11010" width="45.7109375" style="90" customWidth="1"/>
    <col min="11011" max="11012" width="16.42578125" style="90" bestFit="1" customWidth="1"/>
    <col min="11013" max="11013" width="3.42578125" style="90" customWidth="1"/>
    <col min="11014" max="11014" width="15.7109375" style="90" customWidth="1"/>
    <col min="11015" max="11015" width="45.7109375" style="90" customWidth="1"/>
    <col min="11016" max="11016" width="0" style="90" hidden="1" customWidth="1"/>
    <col min="11017" max="11264" width="11.42578125" style="90"/>
    <col min="11265" max="11265" width="1.7109375" style="90" customWidth="1"/>
    <col min="11266" max="11266" width="45.7109375" style="90" customWidth="1"/>
    <col min="11267" max="11268" width="16.42578125" style="90" bestFit="1" customWidth="1"/>
    <col min="11269" max="11269" width="3.42578125" style="90" customWidth="1"/>
    <col min="11270" max="11270" width="15.7109375" style="90" customWidth="1"/>
    <col min="11271" max="11271" width="45.7109375" style="90" customWidth="1"/>
    <col min="11272" max="11272" width="0" style="90" hidden="1" customWidth="1"/>
    <col min="11273" max="11520" width="11.42578125" style="90"/>
    <col min="11521" max="11521" width="1.7109375" style="90" customWidth="1"/>
    <col min="11522" max="11522" width="45.7109375" style="90" customWidth="1"/>
    <col min="11523" max="11524" width="16.42578125" style="90" bestFit="1" customWidth="1"/>
    <col min="11525" max="11525" width="3.42578125" style="90" customWidth="1"/>
    <col min="11526" max="11526" width="15.7109375" style="90" customWidth="1"/>
    <col min="11527" max="11527" width="45.7109375" style="90" customWidth="1"/>
    <col min="11528" max="11528" width="0" style="90" hidden="1" customWidth="1"/>
    <col min="11529" max="11776" width="11.42578125" style="90"/>
    <col min="11777" max="11777" width="1.7109375" style="90" customWidth="1"/>
    <col min="11778" max="11778" width="45.7109375" style="90" customWidth="1"/>
    <col min="11779" max="11780" width="16.42578125" style="90" bestFit="1" customWidth="1"/>
    <col min="11781" max="11781" width="3.42578125" style="90" customWidth="1"/>
    <col min="11782" max="11782" width="15.7109375" style="90" customWidth="1"/>
    <col min="11783" max="11783" width="45.7109375" style="90" customWidth="1"/>
    <col min="11784" max="11784" width="0" style="90" hidden="1" customWidth="1"/>
    <col min="11785" max="12032" width="11.42578125" style="90"/>
    <col min="12033" max="12033" width="1.7109375" style="90" customWidth="1"/>
    <col min="12034" max="12034" width="45.7109375" style="90" customWidth="1"/>
    <col min="12035" max="12036" width="16.42578125" style="90" bestFit="1" customWidth="1"/>
    <col min="12037" max="12037" width="3.42578125" style="90" customWidth="1"/>
    <col min="12038" max="12038" width="15.7109375" style="90" customWidth="1"/>
    <col min="12039" max="12039" width="45.7109375" style="90" customWidth="1"/>
    <col min="12040" max="12040" width="0" style="90" hidden="1" customWidth="1"/>
    <col min="12041" max="12288" width="11.42578125" style="90"/>
    <col min="12289" max="12289" width="1.7109375" style="90" customWidth="1"/>
    <col min="12290" max="12290" width="45.7109375" style="90" customWidth="1"/>
    <col min="12291" max="12292" width="16.42578125" style="90" bestFit="1" customWidth="1"/>
    <col min="12293" max="12293" width="3.42578125" style="90" customWidth="1"/>
    <col min="12294" max="12294" width="15.7109375" style="90" customWidth="1"/>
    <col min="12295" max="12295" width="45.7109375" style="90" customWidth="1"/>
    <col min="12296" max="12296" width="0" style="90" hidden="1" customWidth="1"/>
    <col min="12297" max="12544" width="11.42578125" style="90"/>
    <col min="12545" max="12545" width="1.7109375" style="90" customWidth="1"/>
    <col min="12546" max="12546" width="45.7109375" style="90" customWidth="1"/>
    <col min="12547" max="12548" width="16.42578125" style="90" bestFit="1" customWidth="1"/>
    <col min="12549" max="12549" width="3.42578125" style="90" customWidth="1"/>
    <col min="12550" max="12550" width="15.7109375" style="90" customWidth="1"/>
    <col min="12551" max="12551" width="45.7109375" style="90" customWidth="1"/>
    <col min="12552" max="12552" width="0" style="90" hidden="1" customWidth="1"/>
    <col min="12553" max="12800" width="11.42578125" style="90"/>
    <col min="12801" max="12801" width="1.7109375" style="90" customWidth="1"/>
    <col min="12802" max="12802" width="45.7109375" style="90" customWidth="1"/>
    <col min="12803" max="12804" width="16.42578125" style="90" bestFit="1" customWidth="1"/>
    <col min="12805" max="12805" width="3.42578125" style="90" customWidth="1"/>
    <col min="12806" max="12806" width="15.7109375" style="90" customWidth="1"/>
    <col min="12807" max="12807" width="45.7109375" style="90" customWidth="1"/>
    <col min="12808" max="12808" width="0" style="90" hidden="1" customWidth="1"/>
    <col min="12809" max="13056" width="11.42578125" style="90"/>
    <col min="13057" max="13057" width="1.7109375" style="90" customWidth="1"/>
    <col min="13058" max="13058" width="45.7109375" style="90" customWidth="1"/>
    <col min="13059" max="13060" width="16.42578125" style="90" bestFit="1" customWidth="1"/>
    <col min="13061" max="13061" width="3.42578125" style="90" customWidth="1"/>
    <col min="13062" max="13062" width="15.7109375" style="90" customWidth="1"/>
    <col min="13063" max="13063" width="45.7109375" style="90" customWidth="1"/>
    <col min="13064" max="13064" width="0" style="90" hidden="1" customWidth="1"/>
    <col min="13065" max="13312" width="11.42578125" style="90"/>
    <col min="13313" max="13313" width="1.7109375" style="90" customWidth="1"/>
    <col min="13314" max="13314" width="45.7109375" style="90" customWidth="1"/>
    <col min="13315" max="13316" width="16.42578125" style="90" bestFit="1" customWidth="1"/>
    <col min="13317" max="13317" width="3.42578125" style="90" customWidth="1"/>
    <col min="13318" max="13318" width="15.7109375" style="90" customWidth="1"/>
    <col min="13319" max="13319" width="45.7109375" style="90" customWidth="1"/>
    <col min="13320" max="13320" width="0" style="90" hidden="1" customWidth="1"/>
    <col min="13321" max="13568" width="11.42578125" style="90"/>
    <col min="13569" max="13569" width="1.7109375" style="90" customWidth="1"/>
    <col min="13570" max="13570" width="45.7109375" style="90" customWidth="1"/>
    <col min="13571" max="13572" width="16.42578125" style="90" bestFit="1" customWidth="1"/>
    <col min="13573" max="13573" width="3.42578125" style="90" customWidth="1"/>
    <col min="13574" max="13574" width="15.7109375" style="90" customWidth="1"/>
    <col min="13575" max="13575" width="45.7109375" style="90" customWidth="1"/>
    <col min="13576" max="13576" width="0" style="90" hidden="1" customWidth="1"/>
    <col min="13577" max="13824" width="11.42578125" style="90"/>
    <col min="13825" max="13825" width="1.7109375" style="90" customWidth="1"/>
    <col min="13826" max="13826" width="45.7109375" style="90" customWidth="1"/>
    <col min="13827" max="13828" width="16.42578125" style="90" bestFit="1" customWidth="1"/>
    <col min="13829" max="13829" width="3.42578125" style="90" customWidth="1"/>
    <col min="13830" max="13830" width="15.7109375" style="90" customWidth="1"/>
    <col min="13831" max="13831" width="45.7109375" style="90" customWidth="1"/>
    <col min="13832" max="13832" width="0" style="90" hidden="1" customWidth="1"/>
    <col min="13833" max="14080" width="11.42578125" style="90"/>
    <col min="14081" max="14081" width="1.7109375" style="90" customWidth="1"/>
    <col min="14082" max="14082" width="45.7109375" style="90" customWidth="1"/>
    <col min="14083" max="14084" width="16.42578125" style="90" bestFit="1" customWidth="1"/>
    <col min="14085" max="14085" width="3.42578125" style="90" customWidth="1"/>
    <col min="14086" max="14086" width="15.7109375" style="90" customWidth="1"/>
    <col min="14087" max="14087" width="45.7109375" style="90" customWidth="1"/>
    <col min="14088" max="14088" width="0" style="90" hidden="1" customWidth="1"/>
    <col min="14089" max="14336" width="11.42578125" style="90"/>
    <col min="14337" max="14337" width="1.7109375" style="90" customWidth="1"/>
    <col min="14338" max="14338" width="45.7109375" style="90" customWidth="1"/>
    <col min="14339" max="14340" width="16.42578125" style="90" bestFit="1" customWidth="1"/>
    <col min="14341" max="14341" width="3.42578125" style="90" customWidth="1"/>
    <col min="14342" max="14342" width="15.7109375" style="90" customWidth="1"/>
    <col min="14343" max="14343" width="45.7109375" style="90" customWidth="1"/>
    <col min="14344" max="14344" width="0" style="90" hidden="1" customWidth="1"/>
    <col min="14345" max="14592" width="11.42578125" style="90"/>
    <col min="14593" max="14593" width="1.7109375" style="90" customWidth="1"/>
    <col min="14594" max="14594" width="45.7109375" style="90" customWidth="1"/>
    <col min="14595" max="14596" width="16.42578125" style="90" bestFit="1" customWidth="1"/>
    <col min="14597" max="14597" width="3.42578125" style="90" customWidth="1"/>
    <col min="14598" max="14598" width="15.7109375" style="90" customWidth="1"/>
    <col min="14599" max="14599" width="45.7109375" style="90" customWidth="1"/>
    <col min="14600" max="14600" width="0" style="90" hidden="1" customWidth="1"/>
    <col min="14601" max="14848" width="11.42578125" style="90"/>
    <col min="14849" max="14849" width="1.7109375" style="90" customWidth="1"/>
    <col min="14850" max="14850" width="45.7109375" style="90" customWidth="1"/>
    <col min="14851" max="14852" width="16.42578125" style="90" bestFit="1" customWidth="1"/>
    <col min="14853" max="14853" width="3.42578125" style="90" customWidth="1"/>
    <col min="14854" max="14854" width="15.7109375" style="90" customWidth="1"/>
    <col min="14855" max="14855" width="45.7109375" style="90" customWidth="1"/>
    <col min="14856" max="14856" width="0" style="90" hidden="1" customWidth="1"/>
    <col min="14857" max="15104" width="11.42578125" style="90"/>
    <col min="15105" max="15105" width="1.7109375" style="90" customWidth="1"/>
    <col min="15106" max="15106" width="45.7109375" style="90" customWidth="1"/>
    <col min="15107" max="15108" width="16.42578125" style="90" bestFit="1" customWidth="1"/>
    <col min="15109" max="15109" width="3.42578125" style="90" customWidth="1"/>
    <col min="15110" max="15110" width="15.7109375" style="90" customWidth="1"/>
    <col min="15111" max="15111" width="45.7109375" style="90" customWidth="1"/>
    <col min="15112" max="15112" width="0" style="90" hidden="1" customWidth="1"/>
    <col min="15113" max="15360" width="11.42578125" style="90"/>
    <col min="15361" max="15361" width="1.7109375" style="90" customWidth="1"/>
    <col min="15362" max="15362" width="45.7109375" style="90" customWidth="1"/>
    <col min="15363" max="15364" width="16.42578125" style="90" bestFit="1" customWidth="1"/>
    <col min="15365" max="15365" width="3.42578125" style="90" customWidth="1"/>
    <col min="15366" max="15366" width="15.7109375" style="90" customWidth="1"/>
    <col min="15367" max="15367" width="45.7109375" style="90" customWidth="1"/>
    <col min="15368" max="15368" width="0" style="90" hidden="1" customWidth="1"/>
    <col min="15369" max="15616" width="11.42578125" style="90"/>
    <col min="15617" max="15617" width="1.7109375" style="90" customWidth="1"/>
    <col min="15618" max="15618" width="45.7109375" style="90" customWidth="1"/>
    <col min="15619" max="15620" width="16.42578125" style="90" bestFit="1" customWidth="1"/>
    <col min="15621" max="15621" width="3.42578125" style="90" customWidth="1"/>
    <col min="15622" max="15622" width="15.7109375" style="90" customWidth="1"/>
    <col min="15623" max="15623" width="45.7109375" style="90" customWidth="1"/>
    <col min="15624" max="15624" width="0" style="90" hidden="1" customWidth="1"/>
    <col min="15625" max="15872" width="11.42578125" style="90"/>
    <col min="15873" max="15873" width="1.7109375" style="90" customWidth="1"/>
    <col min="15874" max="15874" width="45.7109375" style="90" customWidth="1"/>
    <col min="15875" max="15876" width="16.42578125" style="90" bestFit="1" customWidth="1"/>
    <col min="15877" max="15877" width="3.42578125" style="90" customWidth="1"/>
    <col min="15878" max="15878" width="15.7109375" style="90" customWidth="1"/>
    <col min="15879" max="15879" width="45.7109375" style="90" customWidth="1"/>
    <col min="15880" max="15880" width="0" style="90" hidden="1" customWidth="1"/>
    <col min="15881" max="16128" width="11.42578125" style="90"/>
    <col min="16129" max="16129" width="1.7109375" style="90" customWidth="1"/>
    <col min="16130" max="16130" width="45.7109375" style="90" customWidth="1"/>
    <col min="16131" max="16132" width="16.42578125" style="90" bestFit="1" customWidth="1"/>
    <col min="16133" max="16133" width="3.42578125" style="90" customWidth="1"/>
    <col min="16134" max="16134" width="15.7109375" style="90" customWidth="1"/>
    <col min="16135" max="16135" width="45.7109375" style="90" customWidth="1"/>
    <col min="16136" max="16136" width="0" style="90" hidden="1" customWidth="1"/>
    <col min="16137" max="16384" width="11.42578125" style="90"/>
  </cols>
  <sheetData>
    <row r="1" spans="1:9" s="123" customFormat="1" ht="18" x14ac:dyDescent="0.25">
      <c r="A1" s="119"/>
      <c r="B1" s="120" t="s">
        <v>122</v>
      </c>
      <c r="C1" s="121"/>
      <c r="D1" s="121"/>
      <c r="E1" s="121"/>
      <c r="F1" s="122"/>
      <c r="G1" s="121"/>
    </row>
    <row r="2" spans="1:9" s="123" customFormat="1" ht="18" x14ac:dyDescent="0.25">
      <c r="A2" s="119"/>
      <c r="B2" s="120" t="s">
        <v>140</v>
      </c>
      <c r="C2" s="124"/>
      <c r="D2" s="124"/>
      <c r="E2" s="124"/>
      <c r="F2" s="125"/>
      <c r="G2" s="124"/>
    </row>
    <row r="3" spans="1:9" ht="18" x14ac:dyDescent="0.25">
      <c r="A3" s="126"/>
      <c r="B3" s="127"/>
      <c r="F3" s="128"/>
    </row>
    <row r="4" spans="1:9" x14ac:dyDescent="0.25">
      <c r="A4" s="126"/>
      <c r="B4" s="201" t="s">
        <v>1</v>
      </c>
      <c r="C4" s="201"/>
      <c r="D4" s="201"/>
      <c r="E4" s="201"/>
      <c r="F4" s="201"/>
      <c r="G4" s="201"/>
    </row>
    <row r="5" spans="1:9" ht="23.25" x14ac:dyDescent="0.25">
      <c r="A5" s="126"/>
      <c r="B5" s="129"/>
      <c r="C5" s="129"/>
      <c r="D5" s="129"/>
      <c r="E5" s="129"/>
      <c r="F5" s="130"/>
      <c r="G5" s="129"/>
    </row>
    <row r="6" spans="1:9" x14ac:dyDescent="0.25">
      <c r="A6" s="126"/>
      <c r="B6" s="131" t="s">
        <v>123</v>
      </c>
      <c r="C6" s="132"/>
      <c r="D6" s="132"/>
      <c r="E6" s="132"/>
      <c r="F6" s="133"/>
      <c r="G6" s="134"/>
    </row>
    <row r="7" spans="1:9" ht="18" x14ac:dyDescent="0.25">
      <c r="A7" s="126"/>
      <c r="B7" s="135"/>
      <c r="C7" s="134"/>
      <c r="D7" s="134"/>
      <c r="E7" s="134"/>
      <c r="F7" s="136"/>
      <c r="G7" s="134"/>
    </row>
    <row r="8" spans="1:9" x14ac:dyDescent="0.25">
      <c r="A8" s="126"/>
      <c r="B8" s="202" t="s">
        <v>124</v>
      </c>
      <c r="C8" s="202"/>
      <c r="D8" s="202"/>
      <c r="E8" s="137"/>
      <c r="F8" s="203" t="s">
        <v>125</v>
      </c>
      <c r="G8" s="204"/>
    </row>
    <row r="9" spans="1:9" x14ac:dyDescent="0.25">
      <c r="A9" s="126"/>
      <c r="B9" s="138"/>
      <c r="C9" s="205" t="s">
        <v>4</v>
      </c>
      <c r="D9" s="205"/>
      <c r="E9" s="137"/>
      <c r="F9" s="139" t="s">
        <v>4</v>
      </c>
      <c r="G9" s="140"/>
    </row>
    <row r="10" spans="1:9" x14ac:dyDescent="0.25">
      <c r="A10" s="126"/>
      <c r="B10" s="141"/>
      <c r="C10" s="142" t="s">
        <v>52</v>
      </c>
      <c r="D10" s="142" t="s">
        <v>53</v>
      </c>
      <c r="E10" s="143"/>
      <c r="F10" s="144"/>
      <c r="G10" s="140"/>
      <c r="H10" s="145"/>
      <c r="I10" s="145"/>
    </row>
    <row r="11" spans="1:9" x14ac:dyDescent="0.25">
      <c r="A11" s="126"/>
      <c r="B11" s="146" t="s">
        <v>6</v>
      </c>
      <c r="C11" s="147">
        <f>'tableau 3'!C9</f>
        <v>920913</v>
      </c>
      <c r="D11" s="147">
        <f>'tableau 3'!D9</f>
        <v>920913</v>
      </c>
      <c r="E11" s="134"/>
      <c r="F11" s="148"/>
      <c r="G11" s="149" t="s">
        <v>85</v>
      </c>
    </row>
    <row r="12" spans="1:9" x14ac:dyDescent="0.3">
      <c r="A12" s="126"/>
      <c r="B12" s="18" t="s">
        <v>126</v>
      </c>
      <c r="C12" s="150"/>
      <c r="D12" s="150">
        <f>C12</f>
        <v>0</v>
      </c>
      <c r="E12" s="134"/>
      <c r="F12" s="150"/>
      <c r="G12" s="151" t="s">
        <v>87</v>
      </c>
      <c r="H12" s="152" t="s">
        <v>127</v>
      </c>
    </row>
    <row r="13" spans="1:9" x14ac:dyDescent="0.3">
      <c r="A13" s="126"/>
      <c r="B13" s="140"/>
      <c r="C13" s="150"/>
      <c r="D13" s="150"/>
      <c r="E13" s="134"/>
      <c r="F13" s="150"/>
      <c r="G13" s="151" t="s">
        <v>88</v>
      </c>
      <c r="H13" s="152" t="s">
        <v>128</v>
      </c>
    </row>
    <row r="14" spans="1:9" x14ac:dyDescent="0.3">
      <c r="A14" s="126"/>
      <c r="B14" s="153"/>
      <c r="C14" s="147"/>
      <c r="D14" s="147"/>
      <c r="E14" s="134"/>
      <c r="F14" s="150"/>
      <c r="G14" s="151" t="s">
        <v>9</v>
      </c>
      <c r="H14" s="152" t="s">
        <v>129</v>
      </c>
    </row>
    <row r="15" spans="1:9" x14ac:dyDescent="0.3">
      <c r="A15" s="126"/>
      <c r="B15" s="146" t="s">
        <v>71</v>
      </c>
      <c r="C15" s="147">
        <f>+D15</f>
        <v>3095116</v>
      </c>
      <c r="D15" s="147">
        <v>3095116</v>
      </c>
      <c r="E15" s="134"/>
      <c r="F15" s="150">
        <v>356743</v>
      </c>
      <c r="G15" s="151" t="s">
        <v>89</v>
      </c>
      <c r="H15" s="152" t="s">
        <v>130</v>
      </c>
    </row>
    <row r="16" spans="1:9" x14ac:dyDescent="0.25">
      <c r="A16" s="126"/>
      <c r="B16" s="140"/>
      <c r="C16" s="147"/>
      <c r="D16" s="147"/>
      <c r="E16" s="134"/>
      <c r="F16" s="150">
        <f>'tableau 3'!G52</f>
        <v>1684145</v>
      </c>
      <c r="G16" s="151" t="s">
        <v>90</v>
      </c>
      <c r="H16" s="154" t="s">
        <v>131</v>
      </c>
      <c r="I16" s="126"/>
    </row>
    <row r="17" spans="1:10" x14ac:dyDescent="0.25">
      <c r="A17" s="126"/>
      <c r="B17" s="140"/>
      <c r="C17" s="150"/>
      <c r="D17" s="150"/>
      <c r="E17" s="134"/>
      <c r="F17" s="150"/>
      <c r="G17" s="151"/>
      <c r="H17" s="126"/>
      <c r="I17" s="126"/>
    </row>
    <row r="18" spans="1:10" x14ac:dyDescent="0.25">
      <c r="A18" s="126"/>
      <c r="B18" s="140"/>
      <c r="C18" s="155"/>
      <c r="D18" s="155"/>
      <c r="E18" s="134"/>
      <c r="F18" s="156"/>
      <c r="G18" s="149" t="s">
        <v>132</v>
      </c>
      <c r="H18" s="126"/>
      <c r="I18" s="126"/>
    </row>
    <row r="19" spans="1:10" x14ac:dyDescent="0.25">
      <c r="A19" s="126"/>
      <c r="B19" s="140"/>
      <c r="C19" s="156"/>
      <c r="D19" s="156"/>
      <c r="E19" s="134"/>
      <c r="F19" s="150">
        <f>'tableau 3'!H52</f>
        <v>463750</v>
      </c>
      <c r="G19" s="157" t="s">
        <v>133</v>
      </c>
      <c r="H19" s="126"/>
      <c r="I19" s="126"/>
    </row>
    <row r="20" spans="1:10" x14ac:dyDescent="0.25">
      <c r="A20" s="126"/>
      <c r="B20" s="146" t="s">
        <v>51</v>
      </c>
      <c r="C20" s="155">
        <f>+D20</f>
        <v>165000</v>
      </c>
      <c r="D20" s="155">
        <f>'tableau 3'!H29</f>
        <v>165000</v>
      </c>
      <c r="E20" s="134"/>
      <c r="F20" s="150">
        <f>'tableau 3'!I52</f>
        <v>980000</v>
      </c>
      <c r="G20" s="157" t="s">
        <v>92</v>
      </c>
      <c r="H20" s="126"/>
      <c r="I20" s="126"/>
      <c r="J20" s="126"/>
    </row>
    <row r="21" spans="1:10" x14ac:dyDescent="0.25">
      <c r="A21" s="126"/>
      <c r="B21" s="140"/>
      <c r="C21" s="155"/>
      <c r="D21" s="155"/>
      <c r="E21" s="134"/>
      <c r="F21" s="150"/>
      <c r="G21" s="157" t="s">
        <v>93</v>
      </c>
      <c r="H21" s="126"/>
      <c r="I21" s="126"/>
      <c r="J21" s="126"/>
    </row>
    <row r="22" spans="1:10" x14ac:dyDescent="0.25">
      <c r="A22" s="126"/>
      <c r="B22" s="153"/>
      <c r="C22" s="156"/>
      <c r="D22" s="156"/>
      <c r="E22" s="134"/>
      <c r="F22" s="156"/>
      <c r="H22" s="126"/>
      <c r="I22" s="126"/>
      <c r="J22" s="126"/>
    </row>
    <row r="23" spans="1:10" x14ac:dyDescent="0.25">
      <c r="A23" s="126"/>
      <c r="B23" s="158"/>
      <c r="C23" s="155"/>
      <c r="D23" s="155"/>
      <c r="E23" s="134"/>
      <c r="F23" s="156"/>
      <c r="G23" s="157"/>
      <c r="H23" s="126"/>
      <c r="I23" s="126"/>
      <c r="J23" s="126"/>
    </row>
    <row r="24" spans="1:10" x14ac:dyDescent="0.25">
      <c r="A24" s="126"/>
      <c r="B24" s="153"/>
      <c r="C24" s="155"/>
      <c r="D24" s="155"/>
      <c r="E24" s="134"/>
      <c r="F24" s="156"/>
      <c r="G24" s="157"/>
      <c r="H24" s="126"/>
      <c r="I24" s="126"/>
      <c r="J24" s="126"/>
    </row>
    <row r="25" spans="1:10" x14ac:dyDescent="0.25">
      <c r="A25" s="126"/>
      <c r="B25" s="159" t="s">
        <v>134</v>
      </c>
      <c r="C25" s="160">
        <f>SUM(C11,C15,C20)</f>
        <v>4181029</v>
      </c>
      <c r="D25" s="160">
        <f>SUM(D11,D15,D20)</f>
        <v>4181029</v>
      </c>
      <c r="E25" s="161"/>
      <c r="F25" s="162">
        <f>SUM(F11:F24)</f>
        <v>3484638</v>
      </c>
      <c r="G25" s="163" t="s">
        <v>135</v>
      </c>
      <c r="H25" s="126"/>
      <c r="I25" s="126"/>
      <c r="J25" s="126"/>
    </row>
    <row r="26" spans="1:10" x14ac:dyDescent="0.25">
      <c r="A26" s="126"/>
      <c r="B26" s="164"/>
      <c r="C26" s="165"/>
      <c r="D26" s="165"/>
      <c r="E26" s="137"/>
      <c r="F26" s="166"/>
      <c r="G26" s="167"/>
      <c r="H26" s="126"/>
      <c r="I26" s="126"/>
      <c r="J26" s="126"/>
    </row>
    <row r="27" spans="1:10" x14ac:dyDescent="0.25">
      <c r="A27" s="126"/>
      <c r="B27" s="206" t="s">
        <v>136</v>
      </c>
      <c r="C27" s="207"/>
      <c r="D27" s="160" t="str">
        <f>IF((F25-D25)&gt;0,F25-D25," ")</f>
        <v xml:space="preserve"> </v>
      </c>
      <c r="E27" s="168"/>
      <c r="F27" s="162">
        <f>IF((D25-F25)&gt;0,D25-F25," ")</f>
        <v>696391</v>
      </c>
      <c r="G27" s="163" t="s">
        <v>137</v>
      </c>
      <c r="H27" s="126"/>
      <c r="I27" s="126"/>
      <c r="J27" s="126"/>
    </row>
    <row r="28" spans="1:10" x14ac:dyDescent="0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x14ac:dyDescent="0.25">
      <c r="A29" s="126"/>
      <c r="B29" s="169" t="s">
        <v>138</v>
      </c>
      <c r="H29" s="126"/>
      <c r="I29" s="126"/>
      <c r="J29" s="126"/>
    </row>
    <row r="30" spans="1:10" x14ac:dyDescent="0.3">
      <c r="A30" s="126"/>
      <c r="B30" s="170" t="s">
        <v>139</v>
      </c>
      <c r="H30" s="126"/>
      <c r="I30" s="126"/>
      <c r="J30" s="126"/>
    </row>
    <row r="31" spans="1:10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x14ac:dyDescent="0.25">
      <c r="A36" s="126"/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x14ac:dyDescent="0.25">
      <c r="A37" s="126"/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80" zoomScaleNormal="80" workbookViewId="0">
      <selection activeCell="B2" sqref="B2"/>
    </sheetView>
  </sheetViews>
  <sheetFormatPr baseColWidth="10" defaultRowHeight="15" x14ac:dyDescent="0.25"/>
  <cols>
    <col min="1" max="1" width="2" style="10" customWidth="1"/>
    <col min="2" max="2" width="65.710937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67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61" t="s">
        <v>141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3"/>
      <c r="S3" s="63"/>
    </row>
    <row r="4" spans="1:19" ht="14.25" customHeight="1" x14ac:dyDescent="0.3">
      <c r="A4" s="68"/>
      <c r="B4" s="216" t="s">
        <v>44</v>
      </c>
      <c r="C4" s="216"/>
      <c r="D4" s="216"/>
      <c r="E4" s="216"/>
      <c r="F4" s="216"/>
      <c r="G4" s="216"/>
      <c r="H4" s="216"/>
      <c r="I4" s="216"/>
      <c r="J4" s="216"/>
      <c r="K4" s="69"/>
      <c r="L4" s="69"/>
      <c r="M4" s="70"/>
      <c r="N4" s="71"/>
      <c r="O4" s="71"/>
      <c r="P4" s="71"/>
      <c r="Q4" s="71"/>
      <c r="R4" s="71"/>
      <c r="S4" s="72"/>
    </row>
    <row r="5" spans="1:19" x14ac:dyDescent="0.3">
      <c r="A5" s="28"/>
      <c r="B5" s="73" t="s">
        <v>68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  <c r="P5" s="71"/>
      <c r="Q5" s="71"/>
      <c r="R5" s="71"/>
      <c r="S5" s="71"/>
    </row>
    <row r="6" spans="1:19" ht="30" customHeight="1" x14ac:dyDescent="0.3">
      <c r="A6" s="75"/>
      <c r="B6" s="217" t="s">
        <v>69</v>
      </c>
      <c r="C6" s="220" t="s">
        <v>70</v>
      </c>
      <c r="D6" s="221"/>
      <c r="E6" s="221"/>
      <c r="F6" s="221"/>
      <c r="G6" s="221"/>
      <c r="H6" s="221"/>
      <c r="I6" s="221"/>
      <c r="J6" s="222"/>
      <c r="K6" s="75"/>
      <c r="L6" s="75"/>
      <c r="M6" s="75"/>
      <c r="N6" s="75"/>
      <c r="O6" s="75"/>
      <c r="P6" s="75"/>
      <c r="Q6" s="75"/>
      <c r="R6" s="75"/>
      <c r="S6" s="75"/>
    </row>
    <row r="7" spans="1:19" ht="30" customHeight="1" x14ac:dyDescent="0.3">
      <c r="A7" s="75"/>
      <c r="B7" s="218"/>
      <c r="C7" s="223" t="s">
        <v>6</v>
      </c>
      <c r="D7" s="224"/>
      <c r="E7" s="223" t="s">
        <v>71</v>
      </c>
      <c r="F7" s="224"/>
      <c r="G7" s="225" t="s">
        <v>51</v>
      </c>
      <c r="H7" s="225"/>
      <c r="I7" s="225" t="s">
        <v>66</v>
      </c>
      <c r="J7" s="225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3">
      <c r="A8" s="75"/>
      <c r="B8" s="219"/>
      <c r="C8" s="226" t="s">
        <v>72</v>
      </c>
      <c r="D8" s="227"/>
      <c r="E8" s="76" t="s">
        <v>52</v>
      </c>
      <c r="F8" s="76" t="s">
        <v>53</v>
      </c>
      <c r="G8" s="76" t="s">
        <v>52</v>
      </c>
      <c r="H8" s="76" t="s">
        <v>53</v>
      </c>
      <c r="I8" s="76" t="s">
        <v>52</v>
      </c>
      <c r="J8" s="76" t="s">
        <v>53</v>
      </c>
      <c r="K8" s="75"/>
      <c r="M8" s="75"/>
      <c r="N8" s="75"/>
      <c r="O8" s="75"/>
      <c r="P8" s="75"/>
      <c r="Q8" s="75"/>
      <c r="R8" s="75"/>
      <c r="S8" s="75"/>
    </row>
    <row r="9" spans="1:19" ht="15" customHeight="1" x14ac:dyDescent="0.3">
      <c r="A9" s="75"/>
      <c r="B9" s="77" t="s">
        <v>73</v>
      </c>
      <c r="C9" s="78">
        <f>SUM(C11:C24)</f>
        <v>920913</v>
      </c>
      <c r="D9" s="78">
        <f>SUM(D11:D24)</f>
        <v>920913</v>
      </c>
      <c r="E9" s="78">
        <f t="shared" ref="E9:J9" si="0">SUM(E11:E24)</f>
        <v>3093166</v>
      </c>
      <c r="F9" s="78">
        <f t="shared" si="0"/>
        <v>3093166</v>
      </c>
      <c r="G9" s="78">
        <f t="shared" si="0"/>
        <v>165000</v>
      </c>
      <c r="H9" s="78">
        <f t="shared" si="0"/>
        <v>165000</v>
      </c>
      <c r="I9" s="78">
        <f t="shared" si="0"/>
        <v>4179079</v>
      </c>
      <c r="J9" s="78">
        <f t="shared" si="0"/>
        <v>4179079</v>
      </c>
      <c r="K9" s="79"/>
      <c r="M9" s="75"/>
      <c r="N9" s="75"/>
      <c r="O9" s="75"/>
      <c r="P9" s="75"/>
      <c r="Q9" s="75"/>
      <c r="R9" s="75"/>
      <c r="S9" s="75"/>
    </row>
    <row r="10" spans="1:19" ht="15" customHeight="1" x14ac:dyDescent="0.3">
      <c r="A10" s="75"/>
      <c r="B10" s="80" t="s">
        <v>74</v>
      </c>
      <c r="C10" s="81">
        <f>SUM(C11:C13)</f>
        <v>351981</v>
      </c>
      <c r="D10" s="81">
        <f>SUM(D11:D13)</f>
        <v>351981</v>
      </c>
      <c r="E10" s="81">
        <f t="shared" ref="E10:J10" si="1">SUM(E11:E13)</f>
        <v>825431</v>
      </c>
      <c r="F10" s="81">
        <f t="shared" si="1"/>
        <v>825431</v>
      </c>
      <c r="G10" s="81">
        <f t="shared" si="1"/>
        <v>0</v>
      </c>
      <c r="H10" s="81">
        <f t="shared" si="1"/>
        <v>0</v>
      </c>
      <c r="I10" s="83">
        <f t="shared" si="1"/>
        <v>1177412</v>
      </c>
      <c r="J10" s="83">
        <f t="shared" si="1"/>
        <v>1177412</v>
      </c>
      <c r="K10" s="84"/>
      <c r="M10" s="75"/>
      <c r="N10" s="75"/>
      <c r="O10" s="75"/>
      <c r="P10" s="75"/>
      <c r="Q10" s="75"/>
      <c r="R10" s="75"/>
      <c r="S10" s="75"/>
    </row>
    <row r="11" spans="1:19" ht="15" customHeight="1" x14ac:dyDescent="0.3">
      <c r="A11" s="75"/>
      <c r="B11" s="85" t="s">
        <v>54</v>
      </c>
      <c r="C11" s="86">
        <f>96933-70000</f>
        <v>26933</v>
      </c>
      <c r="D11" s="82">
        <f>96933-70000</f>
        <v>26933</v>
      </c>
      <c r="E11" s="86">
        <v>248431</v>
      </c>
      <c r="F11" s="86">
        <v>248431</v>
      </c>
      <c r="G11" s="86"/>
      <c r="H11" s="86"/>
      <c r="I11" s="87">
        <f t="shared" ref="I11:J24" si="2">SUM(C11,E11,G11)</f>
        <v>275364</v>
      </c>
      <c r="J11" s="87">
        <f t="shared" si="2"/>
        <v>275364</v>
      </c>
      <c r="K11" s="84"/>
      <c r="M11" s="75"/>
      <c r="N11" s="75"/>
      <c r="O11" s="75"/>
      <c r="P11" s="75"/>
      <c r="Q11" s="75"/>
      <c r="R11" s="75"/>
      <c r="S11" s="75"/>
    </row>
    <row r="12" spans="1:19" s="90" customFormat="1" ht="15" customHeight="1" x14ac:dyDescent="0.3">
      <c r="A12" s="75"/>
      <c r="B12" s="88" t="s">
        <v>55</v>
      </c>
      <c r="C12" s="86">
        <v>179822</v>
      </c>
      <c r="D12" s="82">
        <v>179822</v>
      </c>
      <c r="E12" s="86"/>
      <c r="F12" s="86"/>
      <c r="G12" s="86"/>
      <c r="H12" s="86"/>
      <c r="I12" s="87">
        <f t="shared" si="2"/>
        <v>179822</v>
      </c>
      <c r="J12" s="87">
        <f t="shared" si="2"/>
        <v>179822</v>
      </c>
      <c r="K12" s="89"/>
      <c r="M12" s="75"/>
      <c r="N12" s="75"/>
      <c r="O12" s="75"/>
      <c r="P12" s="75"/>
      <c r="Q12" s="75"/>
      <c r="R12" s="75"/>
      <c r="S12" s="75"/>
    </row>
    <row r="13" spans="1:19" s="90" customFormat="1" ht="15" customHeight="1" x14ac:dyDescent="0.3">
      <c r="A13" s="75"/>
      <c r="B13" s="88" t="s">
        <v>56</v>
      </c>
      <c r="C13" s="86">
        <v>145226</v>
      </c>
      <c r="D13" s="82">
        <v>145226</v>
      </c>
      <c r="E13" s="86">
        <v>577000</v>
      </c>
      <c r="F13" s="86">
        <v>577000</v>
      </c>
      <c r="G13" s="86"/>
      <c r="H13" s="86"/>
      <c r="I13" s="87">
        <f t="shared" si="2"/>
        <v>722226</v>
      </c>
      <c r="J13" s="87">
        <f t="shared" si="2"/>
        <v>722226</v>
      </c>
      <c r="K13" s="89"/>
      <c r="M13" s="75"/>
      <c r="N13" s="75"/>
      <c r="O13" s="75"/>
      <c r="P13" s="75"/>
      <c r="Q13" s="75"/>
      <c r="R13" s="75"/>
      <c r="S13" s="75"/>
    </row>
    <row r="14" spans="1:19" s="90" customFormat="1" ht="15" customHeight="1" x14ac:dyDescent="0.3">
      <c r="A14" s="75"/>
      <c r="B14" s="91" t="s">
        <v>57</v>
      </c>
      <c r="C14" s="86">
        <v>9707</v>
      </c>
      <c r="D14" s="82">
        <v>9707</v>
      </c>
      <c r="E14" s="86"/>
      <c r="F14" s="86"/>
      <c r="G14" s="86"/>
      <c r="H14" s="86"/>
      <c r="I14" s="87">
        <f t="shared" si="2"/>
        <v>9707</v>
      </c>
      <c r="J14" s="87">
        <f t="shared" si="2"/>
        <v>9707</v>
      </c>
      <c r="K14" s="89"/>
      <c r="M14" s="75"/>
      <c r="N14" s="75"/>
      <c r="O14" s="75"/>
      <c r="P14" s="75"/>
      <c r="Q14" s="75"/>
      <c r="R14" s="75"/>
      <c r="S14" s="75"/>
    </row>
    <row r="15" spans="1:19" s="90" customFormat="1" ht="15" customHeight="1" x14ac:dyDescent="0.3">
      <c r="A15" s="75"/>
      <c r="B15" s="92" t="s">
        <v>58</v>
      </c>
      <c r="C15" s="86">
        <f>IF(ISNA(VLOOKUP($B15,'[1]DEST. LOLF D'!$B$7:$H$25,2,0)),0,VLOOKUP($B15,'[1]DEST. LOLF D'!$B$7:$H$25,6,0))</f>
        <v>0</v>
      </c>
      <c r="D15" s="82"/>
      <c r="E15" s="86"/>
      <c r="F15" s="86"/>
      <c r="G15" s="86"/>
      <c r="H15" s="86"/>
      <c r="I15" s="87">
        <f t="shared" si="2"/>
        <v>0</v>
      </c>
      <c r="J15" s="87">
        <f t="shared" si="2"/>
        <v>0</v>
      </c>
      <c r="K15" s="89"/>
      <c r="M15" s="75"/>
      <c r="N15" s="75"/>
      <c r="O15" s="75"/>
      <c r="P15" s="75"/>
      <c r="Q15" s="75"/>
      <c r="R15" s="75"/>
      <c r="S15" s="75"/>
    </row>
    <row r="16" spans="1:19" s="90" customFormat="1" ht="15" customHeight="1" x14ac:dyDescent="0.3">
      <c r="A16" s="75"/>
      <c r="B16" s="92" t="s">
        <v>75</v>
      </c>
      <c r="C16" s="86">
        <f>IF(ISNA(VLOOKUP($B16,'[1]DEST. LOLF D'!$B$7:$H$25,2,0)),0,VLOOKUP($B16,'[1]DEST. LOLF D'!$B$7:$H$25,6,0))</f>
        <v>0</v>
      </c>
      <c r="D16" s="82"/>
      <c r="E16" s="86"/>
      <c r="F16" s="86"/>
      <c r="G16" s="86"/>
      <c r="H16" s="86"/>
      <c r="I16" s="87">
        <f t="shared" si="2"/>
        <v>0</v>
      </c>
      <c r="J16" s="87">
        <f t="shared" si="2"/>
        <v>0</v>
      </c>
      <c r="K16" s="89"/>
      <c r="M16" s="75"/>
      <c r="N16" s="75"/>
      <c r="O16" s="75"/>
      <c r="P16" s="75"/>
      <c r="Q16" s="75"/>
      <c r="R16" s="75"/>
      <c r="S16" s="75"/>
    </row>
    <row r="17" spans="1:19" s="90" customFormat="1" ht="15" customHeight="1" x14ac:dyDescent="0.3">
      <c r="A17" s="75"/>
      <c r="B17" s="92" t="s">
        <v>76</v>
      </c>
      <c r="C17" s="86">
        <f>IF(ISNA(VLOOKUP($B17,'[1]DEST. LOLF D'!$B$7:$H$25,2,0)),0,VLOOKUP($B17,'[1]DEST. LOLF D'!$B$7:$H$25,6,0))</f>
        <v>0</v>
      </c>
      <c r="D17" s="82"/>
      <c r="E17" s="86"/>
      <c r="F17" s="86"/>
      <c r="G17" s="86"/>
      <c r="H17" s="86"/>
      <c r="I17" s="87">
        <f t="shared" si="2"/>
        <v>0</v>
      </c>
      <c r="J17" s="87">
        <f t="shared" si="2"/>
        <v>0</v>
      </c>
      <c r="K17" s="89"/>
      <c r="M17" s="75"/>
      <c r="N17" s="75"/>
      <c r="O17" s="75"/>
      <c r="P17" s="75"/>
      <c r="Q17" s="75"/>
      <c r="R17" s="75"/>
      <c r="S17" s="75"/>
    </row>
    <row r="18" spans="1:19" s="90" customFormat="1" ht="15" customHeight="1" x14ac:dyDescent="0.3">
      <c r="A18" s="75"/>
      <c r="B18" s="92" t="s">
        <v>77</v>
      </c>
      <c r="C18" s="86">
        <f>IF(ISNA(VLOOKUP($B18,'[1]DEST. LOLF D'!$B$7:$H$25,2,0)),0,VLOOKUP($B18,'[1]DEST. LOLF D'!$B$7:$H$25,6,0))</f>
        <v>0</v>
      </c>
      <c r="D18" s="82"/>
      <c r="E18" s="86"/>
      <c r="F18" s="86"/>
      <c r="G18" s="86"/>
      <c r="H18" s="86"/>
      <c r="I18" s="87">
        <f t="shared" si="2"/>
        <v>0</v>
      </c>
      <c r="J18" s="87">
        <f t="shared" si="2"/>
        <v>0</v>
      </c>
      <c r="K18" s="89"/>
      <c r="M18" s="75"/>
      <c r="N18" s="75"/>
      <c r="O18" s="75"/>
      <c r="P18" s="75"/>
      <c r="Q18" s="75"/>
      <c r="R18" s="75"/>
      <c r="S18" s="75"/>
    </row>
    <row r="19" spans="1:19" s="90" customFormat="1" ht="15" customHeight="1" x14ac:dyDescent="0.3">
      <c r="A19" s="75"/>
      <c r="B19" s="92" t="s">
        <v>78</v>
      </c>
      <c r="C19" s="86">
        <f>IF(ISNA(VLOOKUP($B19,'[1]DEST. LOLF D'!$B$7:$H$25,2,0)),0,VLOOKUP($B19,'[1]DEST. LOLF D'!$B$7:$H$25,6,0))</f>
        <v>0</v>
      </c>
      <c r="D19" s="82"/>
      <c r="E19" s="86"/>
      <c r="F19" s="86"/>
      <c r="G19" s="86"/>
      <c r="H19" s="86"/>
      <c r="I19" s="87">
        <f t="shared" si="2"/>
        <v>0</v>
      </c>
      <c r="J19" s="87">
        <f t="shared" si="2"/>
        <v>0</v>
      </c>
      <c r="K19" s="89"/>
      <c r="M19" s="75"/>
      <c r="N19" s="75"/>
      <c r="O19" s="75"/>
      <c r="P19" s="75"/>
      <c r="Q19" s="75"/>
      <c r="R19" s="75"/>
      <c r="S19" s="75"/>
    </row>
    <row r="20" spans="1:19" s="90" customFormat="1" ht="15" customHeight="1" x14ac:dyDescent="0.3">
      <c r="A20" s="75"/>
      <c r="B20" s="92" t="s">
        <v>59</v>
      </c>
      <c r="C20" s="86"/>
      <c r="D20" s="82"/>
      <c r="E20" s="86"/>
      <c r="F20" s="86"/>
      <c r="G20" s="86"/>
      <c r="H20" s="86"/>
      <c r="I20" s="87">
        <f t="shared" si="2"/>
        <v>0</v>
      </c>
      <c r="J20" s="87">
        <f t="shared" si="2"/>
        <v>0</v>
      </c>
      <c r="K20" s="84"/>
      <c r="L20" s="75"/>
      <c r="M20" s="75"/>
      <c r="N20" s="75"/>
      <c r="O20" s="75"/>
      <c r="P20" s="75"/>
      <c r="Q20" s="75"/>
      <c r="R20" s="75"/>
      <c r="S20" s="75"/>
    </row>
    <row r="21" spans="1:19" s="90" customFormat="1" ht="15" customHeight="1" x14ac:dyDescent="0.3">
      <c r="A21" s="75"/>
      <c r="B21" s="92" t="s">
        <v>79</v>
      </c>
      <c r="C21" s="86">
        <v>73964</v>
      </c>
      <c r="D21" s="82">
        <v>73964</v>
      </c>
      <c r="E21" s="86">
        <v>985411</v>
      </c>
      <c r="F21" s="86">
        <v>985411</v>
      </c>
      <c r="G21" s="86"/>
      <c r="H21" s="86"/>
      <c r="I21" s="87">
        <f t="shared" si="2"/>
        <v>1059375</v>
      </c>
      <c r="J21" s="87">
        <f t="shared" si="2"/>
        <v>1059375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s="90" customFormat="1" ht="15" customHeight="1" x14ac:dyDescent="0.3">
      <c r="A22" s="75"/>
      <c r="B22" s="91" t="s">
        <v>60</v>
      </c>
      <c r="C22" s="86">
        <v>106830</v>
      </c>
      <c r="D22" s="82">
        <v>106830</v>
      </c>
      <c r="E22" s="86">
        <v>153514</v>
      </c>
      <c r="F22" s="86">
        <v>153514</v>
      </c>
      <c r="G22" s="86"/>
      <c r="H22" s="86"/>
      <c r="I22" s="87">
        <f t="shared" si="2"/>
        <v>260344</v>
      </c>
      <c r="J22" s="87">
        <f t="shared" si="2"/>
        <v>260344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s="90" customFormat="1" ht="15" customHeight="1" x14ac:dyDescent="0.3">
      <c r="A23" s="93"/>
      <c r="B23" s="91" t="s">
        <v>61</v>
      </c>
      <c r="C23" s="86"/>
      <c r="D23" s="82"/>
      <c r="E23" s="86"/>
      <c r="F23" s="86"/>
      <c r="G23" s="86"/>
      <c r="H23" s="86"/>
      <c r="I23" s="87">
        <f t="shared" si="2"/>
        <v>0</v>
      </c>
      <c r="J23" s="87">
        <f t="shared" si="2"/>
        <v>0</v>
      </c>
      <c r="K23" s="75"/>
      <c r="L23" s="75"/>
      <c r="M23" s="93"/>
      <c r="N23" s="93"/>
      <c r="O23" s="93"/>
      <c r="P23" s="93"/>
      <c r="Q23" s="93"/>
      <c r="R23" s="93"/>
      <c r="S23" s="93"/>
    </row>
    <row r="24" spans="1:19" s="90" customFormat="1" ht="15" customHeight="1" x14ac:dyDescent="0.3">
      <c r="A24" s="93"/>
      <c r="B24" s="91" t="s">
        <v>62</v>
      </c>
      <c r="C24" s="86">
        <f>589498-211067</f>
        <v>378431</v>
      </c>
      <c r="D24" s="82">
        <f>589498-211067</f>
        <v>378431</v>
      </c>
      <c r="E24" s="86">
        <f>396490+688000+44320</f>
        <v>1128810</v>
      </c>
      <c r="F24" s="86">
        <f>688000+44320+396490</f>
        <v>1128810</v>
      </c>
      <c r="G24" s="86">
        <v>165000</v>
      </c>
      <c r="H24" s="86">
        <v>165000</v>
      </c>
      <c r="I24" s="87">
        <f t="shared" si="2"/>
        <v>1672241</v>
      </c>
      <c r="J24" s="87">
        <f t="shared" si="2"/>
        <v>1672241</v>
      </c>
      <c r="K24" s="75"/>
      <c r="L24" s="75"/>
      <c r="M24" s="93"/>
      <c r="N24" s="93"/>
      <c r="O24" s="93"/>
      <c r="P24" s="93"/>
      <c r="Q24" s="93"/>
      <c r="R24" s="93"/>
      <c r="S24" s="93"/>
    </row>
    <row r="25" spans="1:19" s="90" customFormat="1" ht="15" customHeight="1" x14ac:dyDescent="0.3">
      <c r="A25" s="93"/>
      <c r="B25" s="94" t="s">
        <v>63</v>
      </c>
      <c r="C25" s="95">
        <f t="shared" ref="C25:J25" si="3">SUM(C26:C28)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6"/>
      <c r="L25" s="75"/>
      <c r="M25" s="93"/>
      <c r="N25" s="93"/>
      <c r="O25" s="93"/>
      <c r="P25" s="93"/>
      <c r="Q25" s="93"/>
      <c r="R25" s="93"/>
      <c r="S25" s="93"/>
    </row>
    <row r="26" spans="1:19" s="90" customFormat="1" ht="15" customHeight="1" x14ac:dyDescent="0.3">
      <c r="A26" s="93"/>
      <c r="B26" s="91" t="s">
        <v>64</v>
      </c>
      <c r="C26" s="86"/>
      <c r="D26" s="82">
        <f>C26</f>
        <v>0</v>
      </c>
      <c r="E26" s="86"/>
      <c r="F26" s="86"/>
      <c r="G26" s="86"/>
      <c r="H26" s="86"/>
      <c r="I26" s="87">
        <f t="shared" ref="I26:J28" si="4">SUM(C26,E26,G26)</f>
        <v>0</v>
      </c>
      <c r="J26" s="87">
        <f t="shared" si="4"/>
        <v>0</v>
      </c>
      <c r="K26" s="75"/>
      <c r="L26" s="75"/>
      <c r="M26" s="93"/>
      <c r="N26" s="93"/>
      <c r="O26" s="93"/>
      <c r="P26" s="93"/>
      <c r="Q26" s="93"/>
      <c r="R26" s="93"/>
      <c r="S26" s="93"/>
    </row>
    <row r="27" spans="1:19" ht="15" customHeight="1" x14ac:dyDescent="0.3">
      <c r="A27" s="97"/>
      <c r="B27" s="98" t="s">
        <v>80</v>
      </c>
      <c r="C27" s="86"/>
      <c r="D27" s="82"/>
      <c r="E27" s="86"/>
      <c r="F27" s="86"/>
      <c r="G27" s="86"/>
      <c r="H27" s="86"/>
      <c r="I27" s="87">
        <f t="shared" si="4"/>
        <v>0</v>
      </c>
      <c r="J27" s="87">
        <f t="shared" si="4"/>
        <v>0</v>
      </c>
      <c r="K27" s="75"/>
      <c r="L27" s="75"/>
      <c r="M27" s="97"/>
      <c r="N27" s="97"/>
      <c r="O27" s="97"/>
      <c r="P27" s="97"/>
      <c r="Q27" s="97"/>
      <c r="R27" s="97"/>
      <c r="S27" s="97"/>
    </row>
    <row r="28" spans="1:19" ht="15" customHeight="1" x14ac:dyDescent="0.3">
      <c r="A28" s="97"/>
      <c r="B28" s="98" t="s">
        <v>65</v>
      </c>
      <c r="C28" s="86"/>
      <c r="D28" s="82">
        <f>C28</f>
        <v>0</v>
      </c>
      <c r="E28" s="86"/>
      <c r="F28" s="86"/>
      <c r="G28" s="86"/>
      <c r="H28" s="86"/>
      <c r="I28" s="87">
        <f t="shared" si="4"/>
        <v>0</v>
      </c>
      <c r="J28" s="87">
        <f t="shared" si="4"/>
        <v>0</v>
      </c>
      <c r="K28" s="75"/>
      <c r="L28" s="75"/>
      <c r="M28" s="97"/>
      <c r="N28" s="97"/>
      <c r="O28" s="97"/>
      <c r="P28" s="97"/>
      <c r="Q28" s="97"/>
      <c r="R28" s="97"/>
      <c r="S28" s="97"/>
    </row>
    <row r="29" spans="1:19" ht="15" customHeight="1" x14ac:dyDescent="0.3">
      <c r="A29" s="97"/>
      <c r="B29" s="99" t="s">
        <v>66</v>
      </c>
      <c r="C29" s="100">
        <f t="shared" ref="C29:J29" si="5">C9+C25</f>
        <v>920913</v>
      </c>
      <c r="D29" s="100">
        <f t="shared" si="5"/>
        <v>920913</v>
      </c>
      <c r="E29" s="100">
        <f t="shared" si="5"/>
        <v>3093166</v>
      </c>
      <c r="F29" s="100">
        <f t="shared" si="5"/>
        <v>3093166</v>
      </c>
      <c r="G29" s="100">
        <f t="shared" si="5"/>
        <v>165000</v>
      </c>
      <c r="H29" s="100">
        <f t="shared" si="5"/>
        <v>165000</v>
      </c>
      <c r="I29" s="100">
        <f t="shared" si="5"/>
        <v>4179079</v>
      </c>
      <c r="J29" s="100">
        <f t="shared" si="5"/>
        <v>4179079</v>
      </c>
      <c r="K29" s="75"/>
      <c r="L29" s="75"/>
      <c r="M29" s="97"/>
      <c r="N29" s="101"/>
      <c r="O29" s="97"/>
      <c r="P29" s="97"/>
      <c r="Q29" s="97"/>
      <c r="R29" s="97"/>
      <c r="S29" s="97"/>
    </row>
    <row r="30" spans="1:19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75"/>
      <c r="L30" s="75"/>
      <c r="M30" s="97"/>
      <c r="N30" s="97"/>
      <c r="O30" s="97"/>
      <c r="P30" s="97"/>
      <c r="Q30" s="97"/>
      <c r="R30" s="97"/>
      <c r="S30" s="97"/>
    </row>
    <row r="31" spans="1:19" x14ac:dyDescent="0.3">
      <c r="A31" s="97"/>
      <c r="B31" s="97"/>
      <c r="C31" s="97"/>
      <c r="D31" s="97"/>
      <c r="E31" s="97"/>
      <c r="F31" s="97"/>
      <c r="G31" s="97"/>
      <c r="H31" s="102" t="s">
        <v>81</v>
      </c>
      <c r="I31" s="103"/>
      <c r="J31" s="104" t="str">
        <f>IF(K52-J29&gt;0,K52-J29," ")</f>
        <v xml:space="preserve"> </v>
      </c>
      <c r="K31" s="75"/>
      <c r="L31" s="75"/>
      <c r="M31" s="97"/>
      <c r="N31" s="97"/>
      <c r="O31" s="97"/>
      <c r="P31" s="97"/>
      <c r="Q31" s="97"/>
      <c r="R31" s="97"/>
      <c r="S31" s="97"/>
    </row>
    <row r="32" spans="1:19" ht="13.5" customHeight="1" x14ac:dyDescent="0.3">
      <c r="A32" s="9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7"/>
      <c r="N32" s="97"/>
      <c r="O32" s="97"/>
      <c r="P32" s="97"/>
      <c r="Q32" s="97"/>
      <c r="R32" s="97"/>
      <c r="S32" s="97"/>
    </row>
    <row r="33" spans="1:19" ht="18" x14ac:dyDescent="0.3">
      <c r="A33" s="97"/>
      <c r="B33" s="105" t="s">
        <v>82</v>
      </c>
      <c r="C33" s="71"/>
      <c r="D33" s="71"/>
      <c r="E33" s="186"/>
      <c r="F33" s="71"/>
      <c r="G33" s="71"/>
      <c r="H33" s="71"/>
      <c r="I33" s="71"/>
      <c r="J33" s="71"/>
      <c r="K33" s="71"/>
      <c r="L33" s="71"/>
      <c r="M33" s="97"/>
      <c r="N33" s="97"/>
      <c r="O33" s="97"/>
      <c r="P33" s="97"/>
      <c r="Q33" s="97"/>
      <c r="R33" s="97"/>
      <c r="S33" s="97"/>
    </row>
    <row r="34" spans="1:19" x14ac:dyDescent="0.3">
      <c r="A34" s="97"/>
      <c r="B34" s="208" t="s">
        <v>83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97"/>
      <c r="N34" s="97"/>
      <c r="O34" s="97"/>
      <c r="P34" s="97"/>
      <c r="Q34" s="97"/>
      <c r="R34" s="97"/>
      <c r="S34" s="97"/>
    </row>
    <row r="35" spans="1:19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30" customHeight="1" x14ac:dyDescent="0.3">
      <c r="A36" s="97"/>
      <c r="B36" s="209" t="s">
        <v>69</v>
      </c>
      <c r="C36" s="211" t="s">
        <v>84</v>
      </c>
      <c r="D36" s="212"/>
      <c r="E36" s="212"/>
      <c r="F36" s="212"/>
      <c r="G36" s="212"/>
      <c r="H36" s="212"/>
      <c r="I36" s="212"/>
      <c r="J36" s="212"/>
      <c r="K36" s="213"/>
      <c r="L36" s="71"/>
      <c r="M36" s="97"/>
      <c r="N36" s="97"/>
      <c r="O36" s="97"/>
      <c r="P36" s="97"/>
      <c r="Q36" s="97"/>
      <c r="R36" s="97"/>
      <c r="S36" s="97"/>
    </row>
    <row r="37" spans="1:19" ht="30" customHeight="1" x14ac:dyDescent="0.3">
      <c r="A37" s="97"/>
      <c r="B37" s="210"/>
      <c r="C37" s="211" t="s">
        <v>85</v>
      </c>
      <c r="D37" s="212"/>
      <c r="E37" s="212"/>
      <c r="F37" s="212"/>
      <c r="G37" s="213"/>
      <c r="H37" s="211" t="s">
        <v>86</v>
      </c>
      <c r="I37" s="212"/>
      <c r="J37" s="213"/>
      <c r="K37" s="214" t="s">
        <v>66</v>
      </c>
      <c r="L37" s="71"/>
      <c r="M37" s="97"/>
      <c r="N37" s="97"/>
      <c r="O37" s="97"/>
      <c r="P37" s="97"/>
      <c r="Q37" s="97"/>
      <c r="R37" s="97"/>
      <c r="S37" s="97"/>
    </row>
    <row r="38" spans="1:19" ht="60" x14ac:dyDescent="0.3">
      <c r="A38" s="97"/>
      <c r="B38" s="210"/>
      <c r="C38" s="183" t="s">
        <v>87</v>
      </c>
      <c r="D38" s="184" t="s">
        <v>88</v>
      </c>
      <c r="E38" s="184" t="s">
        <v>9</v>
      </c>
      <c r="F38" s="184" t="s">
        <v>89</v>
      </c>
      <c r="G38" s="185" t="s">
        <v>90</v>
      </c>
      <c r="H38" s="183" t="s">
        <v>91</v>
      </c>
      <c r="I38" s="184" t="s">
        <v>92</v>
      </c>
      <c r="J38" s="185" t="s">
        <v>93</v>
      </c>
      <c r="K38" s="215"/>
      <c r="L38" s="97"/>
      <c r="M38" s="97"/>
      <c r="N38" s="97"/>
      <c r="O38" s="97"/>
      <c r="P38" s="97"/>
      <c r="Q38" s="97"/>
      <c r="R38" s="97"/>
      <c r="S38" s="97"/>
    </row>
    <row r="39" spans="1:19" x14ac:dyDescent="0.3">
      <c r="A39" s="97"/>
      <c r="B39" s="106" t="s">
        <v>87</v>
      </c>
      <c r="C39" s="171"/>
      <c r="D39" s="172"/>
      <c r="E39" s="172"/>
      <c r="F39" s="172"/>
      <c r="G39" s="173"/>
      <c r="H39" s="172"/>
      <c r="I39" s="174"/>
      <c r="J39" s="175"/>
      <c r="K39" s="176">
        <f>SUM(C39:J39)</f>
        <v>0</v>
      </c>
      <c r="L39" s="97" t="s">
        <v>94</v>
      </c>
      <c r="M39" s="97"/>
      <c r="N39" s="97"/>
      <c r="O39" s="97"/>
      <c r="P39" s="97"/>
      <c r="Q39" s="97"/>
      <c r="R39" s="97"/>
      <c r="S39" s="97"/>
    </row>
    <row r="40" spans="1:19" x14ac:dyDescent="0.3">
      <c r="A40" s="97"/>
      <c r="B40" s="107" t="s">
        <v>95</v>
      </c>
      <c r="C40" s="171"/>
      <c r="D40" s="172"/>
      <c r="E40" s="172"/>
      <c r="F40" s="172"/>
      <c r="G40" s="173">
        <v>217900</v>
      </c>
      <c r="H40" s="177"/>
      <c r="I40" s="174"/>
      <c r="J40" s="175"/>
      <c r="K40" s="176">
        <f t="shared" ref="K40:K51" si="6">SUM(C40:J40)</f>
        <v>217900</v>
      </c>
      <c r="L40" s="97" t="s">
        <v>96</v>
      </c>
      <c r="M40" s="97"/>
      <c r="N40" s="97"/>
      <c r="O40" s="97"/>
      <c r="P40" s="97"/>
      <c r="Q40" s="97"/>
      <c r="R40" s="97"/>
      <c r="S40" s="97"/>
    </row>
    <row r="41" spans="1:19" x14ac:dyDescent="0.3">
      <c r="A41" s="97"/>
      <c r="B41" s="106" t="s">
        <v>97</v>
      </c>
      <c r="C41" s="171"/>
      <c r="D41" s="172"/>
      <c r="E41" s="172"/>
      <c r="F41" s="172"/>
      <c r="G41" s="173"/>
      <c r="H41" s="177"/>
      <c r="I41" s="174"/>
      <c r="J41" s="175"/>
      <c r="K41" s="176">
        <f t="shared" si="6"/>
        <v>0</v>
      </c>
      <c r="L41" s="97" t="s">
        <v>98</v>
      </c>
      <c r="M41" s="97"/>
      <c r="N41" s="97"/>
      <c r="O41" s="97"/>
      <c r="P41" s="97"/>
      <c r="Q41" s="97"/>
      <c r="R41" s="97"/>
      <c r="S41" s="97"/>
    </row>
    <row r="42" spans="1:19" x14ac:dyDescent="0.3">
      <c r="A42" s="97"/>
      <c r="B42" s="107" t="s">
        <v>99</v>
      </c>
      <c r="C42" s="171"/>
      <c r="D42" s="172"/>
      <c r="E42" s="172"/>
      <c r="F42" s="172"/>
      <c r="G42" s="173"/>
      <c r="H42" s="177"/>
      <c r="I42" s="174"/>
      <c r="J42" s="175"/>
      <c r="K42" s="176">
        <f t="shared" si="6"/>
        <v>0</v>
      </c>
      <c r="L42" s="97" t="s">
        <v>100</v>
      </c>
      <c r="M42" s="97"/>
      <c r="N42" s="97"/>
      <c r="O42" s="97"/>
      <c r="P42" s="97"/>
      <c r="Q42" s="97"/>
      <c r="R42" s="97"/>
      <c r="S42" s="97"/>
    </row>
    <row r="43" spans="1:19" x14ac:dyDescent="0.3">
      <c r="A43" s="97"/>
      <c r="B43" s="108" t="s">
        <v>101</v>
      </c>
      <c r="C43" s="178"/>
      <c r="D43" s="179"/>
      <c r="E43" s="179"/>
      <c r="F43" s="179"/>
      <c r="G43" s="173"/>
      <c r="H43" s="177"/>
      <c r="I43" s="174"/>
      <c r="J43" s="175"/>
      <c r="K43" s="176">
        <f t="shared" si="6"/>
        <v>0</v>
      </c>
      <c r="L43" s="97" t="s">
        <v>102</v>
      </c>
      <c r="M43" s="97"/>
      <c r="N43" s="97"/>
      <c r="O43" s="97"/>
      <c r="P43" s="97"/>
      <c r="Q43" s="97"/>
      <c r="R43" s="97"/>
      <c r="S43" s="97"/>
    </row>
    <row r="44" spans="1:19" x14ac:dyDescent="0.3">
      <c r="A44" s="97"/>
      <c r="B44" s="106" t="s">
        <v>103</v>
      </c>
      <c r="C44" s="171"/>
      <c r="D44" s="172"/>
      <c r="E44" s="172"/>
      <c r="F44" s="172"/>
      <c r="G44" s="173"/>
      <c r="H44" s="177"/>
      <c r="I44" s="174"/>
      <c r="J44" s="175"/>
      <c r="K44" s="176">
        <f t="shared" si="6"/>
        <v>0</v>
      </c>
      <c r="L44" s="97" t="s">
        <v>104</v>
      </c>
      <c r="M44" s="97"/>
      <c r="N44" s="97"/>
      <c r="O44" s="97"/>
      <c r="P44" s="97"/>
      <c r="Q44" s="97"/>
      <c r="R44" s="97"/>
      <c r="S44" s="97"/>
    </row>
    <row r="45" spans="1:19" x14ac:dyDescent="0.3">
      <c r="A45" s="97"/>
      <c r="B45" s="109" t="s">
        <v>105</v>
      </c>
      <c r="C45" s="171"/>
      <c r="D45" s="172"/>
      <c r="E45" s="172"/>
      <c r="F45" s="172"/>
      <c r="G45" s="173"/>
      <c r="H45" s="177"/>
      <c r="I45" s="174"/>
      <c r="J45" s="175"/>
      <c r="K45" s="176">
        <f t="shared" si="6"/>
        <v>0</v>
      </c>
      <c r="L45" s="97" t="s">
        <v>106</v>
      </c>
      <c r="M45" s="97"/>
      <c r="N45" s="97"/>
      <c r="O45" s="97"/>
      <c r="P45" s="97"/>
      <c r="Q45" s="97"/>
      <c r="R45" s="97"/>
      <c r="S45" s="97"/>
    </row>
    <row r="46" spans="1:19" x14ac:dyDescent="0.3">
      <c r="A46" s="97"/>
      <c r="B46" s="109" t="s">
        <v>107</v>
      </c>
      <c r="C46" s="171"/>
      <c r="D46" s="172"/>
      <c r="E46" s="172"/>
      <c r="F46" s="172"/>
      <c r="G46" s="173"/>
      <c r="H46" s="181">
        <v>393750</v>
      </c>
      <c r="I46" s="182"/>
      <c r="J46" s="175"/>
      <c r="K46" s="176">
        <f t="shared" si="6"/>
        <v>393750</v>
      </c>
      <c r="L46" s="97" t="s">
        <v>108</v>
      </c>
      <c r="M46" s="97"/>
      <c r="N46" s="97"/>
      <c r="O46" s="97"/>
      <c r="P46" s="97"/>
      <c r="Q46" s="97"/>
      <c r="R46" s="97"/>
      <c r="S46" s="97"/>
    </row>
    <row r="47" spans="1:19" x14ac:dyDescent="0.3">
      <c r="A47" s="97"/>
      <c r="B47" s="110" t="s">
        <v>109</v>
      </c>
      <c r="C47" s="178"/>
      <c r="D47" s="172"/>
      <c r="E47" s="179"/>
      <c r="F47" s="172">
        <f>120000+123363</f>
        <v>243363</v>
      </c>
      <c r="G47" s="173"/>
      <c r="H47" s="181"/>
      <c r="I47" s="182">
        <f>980000</f>
        <v>980000</v>
      </c>
      <c r="J47" s="175"/>
      <c r="K47" s="176">
        <f t="shared" si="6"/>
        <v>1223363</v>
      </c>
      <c r="L47" s="97" t="s">
        <v>110</v>
      </c>
      <c r="M47" s="97"/>
      <c r="N47" s="97"/>
      <c r="O47" s="97"/>
      <c r="P47" s="97"/>
      <c r="Q47" s="101"/>
      <c r="R47" s="97"/>
      <c r="S47" s="97"/>
    </row>
    <row r="48" spans="1:19" x14ac:dyDescent="0.3">
      <c r="A48" s="97"/>
      <c r="B48" s="110" t="s">
        <v>111</v>
      </c>
      <c r="C48" s="178"/>
      <c r="D48" s="172"/>
      <c r="E48" s="179"/>
      <c r="F48" s="172">
        <v>71430</v>
      </c>
      <c r="G48" s="180"/>
      <c r="H48" s="181"/>
      <c r="I48" s="182"/>
      <c r="J48" s="175"/>
      <c r="K48" s="176">
        <f t="shared" si="6"/>
        <v>71430</v>
      </c>
      <c r="L48" s="97" t="s">
        <v>112</v>
      </c>
      <c r="M48" s="97"/>
      <c r="N48" s="97"/>
      <c r="O48" s="97"/>
      <c r="P48" s="97"/>
      <c r="Q48" s="97"/>
      <c r="R48" s="97"/>
      <c r="S48" s="97"/>
    </row>
    <row r="49" spans="1:19" x14ac:dyDescent="0.3">
      <c r="A49" s="97"/>
      <c r="B49" s="109" t="s">
        <v>113</v>
      </c>
      <c r="C49" s="171"/>
      <c r="D49" s="172"/>
      <c r="E49" s="172"/>
      <c r="F49" s="172">
        <f>15000+10000</f>
        <v>25000</v>
      </c>
      <c r="G49" s="173"/>
      <c r="H49" s="181"/>
      <c r="I49" s="182"/>
      <c r="J49" s="175"/>
      <c r="K49" s="176">
        <f t="shared" si="6"/>
        <v>25000</v>
      </c>
      <c r="L49" s="97" t="s">
        <v>114</v>
      </c>
      <c r="M49" s="97"/>
      <c r="N49" s="97"/>
      <c r="O49" s="97"/>
      <c r="P49" s="97"/>
      <c r="Q49" s="101"/>
      <c r="R49" s="97"/>
      <c r="S49" s="97"/>
    </row>
    <row r="50" spans="1:19" x14ac:dyDescent="0.3">
      <c r="A50" s="97"/>
      <c r="B50" s="109" t="s">
        <v>115</v>
      </c>
      <c r="C50" s="171"/>
      <c r="D50" s="172"/>
      <c r="E50" s="172"/>
      <c r="F50" s="172"/>
      <c r="G50" s="173"/>
      <c r="H50" s="181"/>
      <c r="I50" s="182"/>
      <c r="J50" s="175"/>
      <c r="K50" s="176">
        <f t="shared" si="6"/>
        <v>0</v>
      </c>
      <c r="L50" s="97" t="s">
        <v>116</v>
      </c>
      <c r="M50" s="97"/>
      <c r="N50" s="97"/>
      <c r="O50" s="97"/>
      <c r="P50" s="97"/>
      <c r="Q50" s="97"/>
      <c r="R50" s="97"/>
      <c r="S50" s="97"/>
    </row>
    <row r="51" spans="1:19" x14ac:dyDescent="0.3">
      <c r="A51" s="97"/>
      <c r="B51" s="106" t="s">
        <v>117</v>
      </c>
      <c r="C51" s="171"/>
      <c r="D51" s="172"/>
      <c r="E51" s="172"/>
      <c r="F51" s="172">
        <v>15000</v>
      </c>
      <c r="G51" s="173">
        <f>999000+68625+68095+52525+278000</f>
        <v>1466245</v>
      </c>
      <c r="H51" s="181">
        <v>70000</v>
      </c>
      <c r="I51" s="182"/>
      <c r="J51" s="175"/>
      <c r="K51" s="176">
        <f t="shared" si="6"/>
        <v>1551245</v>
      </c>
      <c r="L51" s="97" t="s">
        <v>118</v>
      </c>
      <c r="M51" s="97"/>
      <c r="N51" s="97"/>
      <c r="O51" s="97"/>
      <c r="P51" s="97"/>
      <c r="Q51" s="97"/>
      <c r="R51" s="97"/>
      <c r="S51" s="97"/>
    </row>
    <row r="52" spans="1:19" x14ac:dyDescent="0.3">
      <c r="A52" s="97"/>
      <c r="B52" s="111" t="s">
        <v>66</v>
      </c>
      <c r="C52" s="112">
        <f>SUM(C39:C51)</f>
        <v>0</v>
      </c>
      <c r="D52" s="113">
        <f t="shared" ref="D52:J52" si="7">SUM(D39:D51)</f>
        <v>0</v>
      </c>
      <c r="E52" s="113">
        <f t="shared" si="7"/>
        <v>0</v>
      </c>
      <c r="F52" s="113">
        <f t="shared" si="7"/>
        <v>354793</v>
      </c>
      <c r="G52" s="114">
        <f t="shared" si="7"/>
        <v>1684145</v>
      </c>
      <c r="H52" s="112">
        <f t="shared" si="7"/>
        <v>463750</v>
      </c>
      <c r="I52" s="115">
        <f t="shared" si="7"/>
        <v>980000</v>
      </c>
      <c r="J52" s="116">
        <f t="shared" si="7"/>
        <v>0</v>
      </c>
      <c r="K52" s="117">
        <f>SUM(K39:K51)</f>
        <v>3482688</v>
      </c>
      <c r="L52" s="97"/>
      <c r="M52" s="97"/>
      <c r="N52" s="101"/>
      <c r="O52" s="97"/>
      <c r="P52" s="97"/>
      <c r="Q52" s="97"/>
      <c r="R52" s="97"/>
      <c r="S52" s="97"/>
    </row>
    <row r="53" spans="1:19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M53" s="97"/>
      <c r="N53" s="97"/>
      <c r="O53" s="97"/>
      <c r="P53" s="97"/>
      <c r="Q53" s="97"/>
      <c r="R53" s="97"/>
      <c r="S53" s="97"/>
    </row>
    <row r="54" spans="1:19" x14ac:dyDescent="0.3">
      <c r="A54" s="97"/>
      <c r="B54" s="71"/>
      <c r="C54" s="97"/>
      <c r="D54" s="71"/>
      <c r="E54" s="71"/>
      <c r="F54" s="71"/>
      <c r="G54" s="71"/>
      <c r="H54" s="71"/>
      <c r="I54" s="102" t="s">
        <v>119</v>
      </c>
      <c r="J54" s="103"/>
      <c r="K54" s="118">
        <f>IF(J29-K52&lt;0," ",J29-K52)</f>
        <v>696391</v>
      </c>
      <c r="M54" s="97"/>
      <c r="N54" s="97"/>
      <c r="O54" s="97"/>
      <c r="P54" s="97"/>
      <c r="Q54" s="97"/>
      <c r="R54" s="97"/>
      <c r="S54" s="97"/>
    </row>
    <row r="55" spans="1:19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M55" s="97"/>
      <c r="N55" s="97"/>
      <c r="O55" s="97"/>
      <c r="P55" s="97"/>
      <c r="Q55" s="97"/>
      <c r="R55" s="97"/>
      <c r="S55" s="97"/>
    </row>
    <row r="56" spans="1:19" x14ac:dyDescent="0.3">
      <c r="A56" s="97"/>
      <c r="B56" s="71" t="s">
        <v>120</v>
      </c>
      <c r="C56" s="71"/>
      <c r="D56" s="71"/>
      <c r="E56" s="71"/>
      <c r="F56" s="71"/>
      <c r="G56" s="71"/>
      <c r="H56" s="71"/>
      <c r="I56" s="71"/>
      <c r="J56" s="71"/>
      <c r="K56" s="71"/>
      <c r="M56" s="97"/>
      <c r="N56" s="97"/>
      <c r="O56" s="97"/>
      <c r="P56" s="97"/>
      <c r="Q56" s="97"/>
      <c r="R56" s="97"/>
      <c r="S56" s="97"/>
    </row>
    <row r="57" spans="1:19" x14ac:dyDescent="0.3">
      <c r="A57" s="97"/>
      <c r="B57" s="71" t="s">
        <v>121</v>
      </c>
      <c r="C57" s="71"/>
      <c r="D57" s="71"/>
      <c r="E57" s="71"/>
      <c r="F57" s="71"/>
      <c r="G57" s="71"/>
      <c r="H57" s="71"/>
      <c r="I57" s="71"/>
      <c r="J57" s="71"/>
      <c r="K57" s="71"/>
      <c r="P57" s="97"/>
      <c r="Q57" s="97"/>
      <c r="R57" s="97"/>
      <c r="S57" s="97"/>
    </row>
  </sheetData>
  <mergeCells count="14"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C14" sqref="C14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142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1" t="s">
        <v>1</v>
      </c>
      <c r="B4" s="201"/>
      <c r="C4" s="201"/>
      <c r="D4" s="201"/>
    </row>
    <row r="5" spans="1:5" ht="14.25" customHeight="1" x14ac:dyDescent="0.35">
      <c r="A5" s="8"/>
      <c r="B5" s="9"/>
      <c r="C5" s="246"/>
      <c r="D5" s="9"/>
    </row>
    <row r="6" spans="1:5" x14ac:dyDescent="0.3">
      <c r="A6" s="11" t="s">
        <v>2</v>
      </c>
      <c r="B6" s="12"/>
      <c r="C6" s="246"/>
      <c r="D6" s="12"/>
    </row>
    <row r="7" spans="1:5" x14ac:dyDescent="0.25">
      <c r="A7" s="13"/>
      <c r="B7" s="13"/>
      <c r="C7" s="13"/>
      <c r="D7" s="13"/>
    </row>
    <row r="8" spans="1:5" x14ac:dyDescent="0.25">
      <c r="A8" s="187" t="s">
        <v>3</v>
      </c>
      <c r="B8" s="188" t="s">
        <v>4</v>
      </c>
      <c r="C8" s="187" t="s">
        <v>5</v>
      </c>
      <c r="D8" s="188" t="s">
        <v>4</v>
      </c>
    </row>
    <row r="9" spans="1:5" x14ac:dyDescent="0.25">
      <c r="A9" s="14" t="s">
        <v>6</v>
      </c>
      <c r="B9" s="15">
        <f>'tableau 3'!D9</f>
        <v>920913</v>
      </c>
      <c r="C9" s="16" t="s">
        <v>7</v>
      </c>
      <c r="D9" s="17"/>
    </row>
    <row r="10" spans="1:5" x14ac:dyDescent="0.25">
      <c r="A10" s="18" t="s">
        <v>8</v>
      </c>
      <c r="B10" s="15"/>
      <c r="C10" s="16" t="s">
        <v>9</v>
      </c>
      <c r="D10" s="17">
        <v>0</v>
      </c>
      <c r="E10" s="19"/>
    </row>
    <row r="11" spans="1:5" x14ac:dyDescent="0.25">
      <c r="A11" s="247" t="s">
        <v>10</v>
      </c>
      <c r="B11" s="243">
        <f>'tableau 3'!F29</f>
        <v>3093166</v>
      </c>
      <c r="C11" s="16" t="s">
        <v>11</v>
      </c>
      <c r="D11" s="17">
        <f>'tableau 3'!F47+'tableau 3'!F48+'tableau 3'!F49+'tableau 3'!I47</f>
        <v>1319793</v>
      </c>
    </row>
    <row r="12" spans="1:5" x14ac:dyDescent="0.25">
      <c r="A12" s="248"/>
      <c r="B12" s="245"/>
      <c r="C12" s="16" t="s">
        <v>12</v>
      </c>
      <c r="D12" s="17">
        <f>'tableau 3'!K51+'tableau 3'!K40+'tableau 3'!K46</f>
        <v>2162895</v>
      </c>
    </row>
    <row r="13" spans="1:5" x14ac:dyDescent="0.25">
      <c r="A13" s="189" t="s">
        <v>13</v>
      </c>
      <c r="B13" s="20">
        <f>SUM(B9,B11)</f>
        <v>4014079</v>
      </c>
      <c r="C13" s="189" t="s">
        <v>14</v>
      </c>
      <c r="D13" s="20">
        <f>SUM(D9:D12)</f>
        <v>3482688</v>
      </c>
    </row>
    <row r="14" spans="1:5" x14ac:dyDescent="0.25">
      <c r="A14" s="21" t="s">
        <v>15</v>
      </c>
      <c r="B14" s="22">
        <f>IF(D13-B13&lt;0,0,D13-B13)</f>
        <v>0</v>
      </c>
      <c r="C14" s="21" t="s">
        <v>16</v>
      </c>
      <c r="D14" s="22">
        <f>IF(B13-D13&gt;0,B13-D13,0)</f>
        <v>531391</v>
      </c>
    </row>
    <row r="15" spans="1:5" ht="30" x14ac:dyDescent="0.25">
      <c r="A15" s="190" t="s">
        <v>17</v>
      </c>
      <c r="B15" s="22">
        <f>SUM(B13:B14)</f>
        <v>4014079</v>
      </c>
      <c r="C15" s="190" t="s">
        <v>18</v>
      </c>
      <c r="D15" s="22">
        <f>SUM(D13:D14)</f>
        <v>4014079</v>
      </c>
    </row>
    <row r="16" spans="1:5" x14ac:dyDescent="0.3">
      <c r="A16" s="23" t="s">
        <v>19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9" t="s">
        <v>20</v>
      </c>
      <c r="B19" s="249"/>
      <c r="C19" s="249"/>
      <c r="D19" s="249"/>
    </row>
    <row r="20" spans="1:4" x14ac:dyDescent="0.3">
      <c r="A20" s="27"/>
      <c r="B20" s="28"/>
      <c r="C20" s="25"/>
      <c r="D20" s="25"/>
    </row>
    <row r="21" spans="1:4" x14ac:dyDescent="0.3">
      <c r="A21" s="27"/>
      <c r="B21" s="191" t="s">
        <v>4</v>
      </c>
      <c r="C21" s="25"/>
      <c r="D21" s="25"/>
    </row>
    <row r="22" spans="1:4" ht="30" x14ac:dyDescent="0.3">
      <c r="A22" s="192" t="s">
        <v>21</v>
      </c>
      <c r="B22" s="29">
        <f>IF(B14=0,-D14,B14)</f>
        <v>-531391</v>
      </c>
      <c r="C22" s="25"/>
      <c r="D22" s="25"/>
    </row>
    <row r="23" spans="1:4" x14ac:dyDescent="0.3">
      <c r="A23" s="30" t="s">
        <v>22</v>
      </c>
      <c r="B23" s="17"/>
      <c r="C23" s="25"/>
      <c r="D23" s="25"/>
    </row>
    <row r="24" spans="1:4" x14ac:dyDescent="0.3">
      <c r="A24" s="30" t="s">
        <v>23</v>
      </c>
      <c r="B24" s="17"/>
      <c r="C24" s="25"/>
      <c r="D24" s="25"/>
    </row>
    <row r="25" spans="1:4" x14ac:dyDescent="0.3">
      <c r="A25" s="30" t="s">
        <v>24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25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26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93" t="s">
        <v>27</v>
      </c>
      <c r="B28" s="31">
        <f>SUM(B22:B27)</f>
        <v>-531391</v>
      </c>
      <c r="C28" s="25"/>
      <c r="D28" s="25"/>
    </row>
    <row r="29" spans="1:4" x14ac:dyDescent="0.3">
      <c r="A29" s="32" t="s">
        <v>28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29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7" t="s">
        <v>30</v>
      </c>
      <c r="B34" s="188" t="s">
        <v>4</v>
      </c>
      <c r="C34" s="187" t="s">
        <v>31</v>
      </c>
      <c r="D34" s="188" t="s">
        <v>4</v>
      </c>
    </row>
    <row r="35" spans="1:4" x14ac:dyDescent="0.25">
      <c r="A35" s="194" t="s">
        <v>32</v>
      </c>
      <c r="B35" s="195">
        <f>IF($B$28&gt;0,0,-$B$28)</f>
        <v>531391</v>
      </c>
      <c r="C35" s="196" t="s">
        <v>33</v>
      </c>
      <c r="D35" s="195">
        <f>IF($B$28&lt;0,0,$B$28)</f>
        <v>0</v>
      </c>
    </row>
    <row r="36" spans="1:4" x14ac:dyDescent="0.25">
      <c r="A36" s="240" t="s">
        <v>34</v>
      </c>
      <c r="B36" s="243">
        <f>'tableau 3'!H29</f>
        <v>165000</v>
      </c>
      <c r="C36" s="16" t="s">
        <v>35</v>
      </c>
      <c r="D36" s="17"/>
    </row>
    <row r="37" spans="1:4" x14ac:dyDescent="0.25">
      <c r="A37" s="241"/>
      <c r="B37" s="244"/>
      <c r="C37" s="42" t="s">
        <v>36</v>
      </c>
      <c r="D37" s="17"/>
    </row>
    <row r="38" spans="1:4" x14ac:dyDescent="0.25">
      <c r="A38" s="242"/>
      <c r="B38" s="245"/>
      <c r="C38" s="16" t="s">
        <v>37</v>
      </c>
      <c r="D38" s="17"/>
    </row>
    <row r="39" spans="1:4" x14ac:dyDescent="0.25">
      <c r="A39" s="43" t="s">
        <v>38</v>
      </c>
      <c r="B39" s="44">
        <f>0</f>
        <v>0</v>
      </c>
      <c r="C39" s="16" t="s">
        <v>39</v>
      </c>
      <c r="D39" s="17">
        <f>IF(ISNA(VLOOKUP($C39,'[1]tab CR_TF R'!$A$4:$B$30,2,0)),0,VLOOKUP($C39,'[1]tab CR_TF R'!$A$4:$B$30,2,0))</f>
        <v>0</v>
      </c>
    </row>
    <row r="40" spans="1:4" x14ac:dyDescent="0.25">
      <c r="A40" s="197" t="s">
        <v>40</v>
      </c>
      <c r="B40" s="195">
        <f>B35+B36+B39</f>
        <v>696391</v>
      </c>
      <c r="C40" s="197" t="s">
        <v>41</v>
      </c>
      <c r="D40" s="198">
        <f>SUM(D35:D39)</f>
        <v>0</v>
      </c>
    </row>
    <row r="41" spans="1:4" x14ac:dyDescent="0.25">
      <c r="A41" s="190" t="s">
        <v>42</v>
      </c>
      <c r="B41" s="199">
        <f>IF(D40-B40&gt;0,D40-B40,0)</f>
        <v>0</v>
      </c>
      <c r="C41" s="200" t="s">
        <v>43</v>
      </c>
      <c r="D41" s="199">
        <f>IF(B40-D40&lt;0,0,B40-D40)</f>
        <v>696391</v>
      </c>
    </row>
    <row r="42" spans="1:4" x14ac:dyDescent="0.25">
      <c r="A42" s="233"/>
      <c r="B42" s="234"/>
      <c r="C42" s="234"/>
      <c r="D42" s="234"/>
    </row>
    <row r="43" spans="1:4" x14ac:dyDescent="0.3">
      <c r="A43" s="235" t="s">
        <v>44</v>
      </c>
      <c r="B43" s="235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6"/>
      <c r="B45" s="236"/>
      <c r="C45" s="236"/>
      <c r="D45" s="188" t="s">
        <v>4</v>
      </c>
    </row>
    <row r="46" spans="1:4" x14ac:dyDescent="0.3">
      <c r="A46" s="228" t="s">
        <v>45</v>
      </c>
      <c r="B46" s="228"/>
      <c r="C46" s="228"/>
      <c r="D46" s="50">
        <f>IF(B41=0,-(D41),B41)</f>
        <v>-696391</v>
      </c>
    </row>
    <row r="47" spans="1:4" x14ac:dyDescent="0.3">
      <c r="A47" s="229" t="s">
        <v>46</v>
      </c>
      <c r="B47" s="229"/>
      <c r="C47" s="229"/>
      <c r="D47" s="51"/>
    </row>
    <row r="48" spans="1:4" ht="15.75" thickBot="1" x14ac:dyDescent="0.35">
      <c r="A48" s="237" t="s">
        <v>47</v>
      </c>
      <c r="B48" s="238"/>
      <c r="C48" s="239"/>
      <c r="D48" s="52"/>
    </row>
    <row r="49" spans="1:4" x14ac:dyDescent="0.3">
      <c r="A49" s="228" t="s">
        <v>48</v>
      </c>
      <c r="B49" s="228"/>
      <c r="C49" s="228"/>
      <c r="D49" s="53"/>
    </row>
    <row r="50" spans="1:4" x14ac:dyDescent="0.3">
      <c r="A50" s="229" t="s">
        <v>49</v>
      </c>
      <c r="B50" s="229"/>
      <c r="C50" s="229"/>
      <c r="D50" s="51"/>
    </row>
    <row r="51" spans="1:4" ht="15.75" thickBot="1" x14ac:dyDescent="0.35">
      <c r="A51" s="230" t="s">
        <v>50</v>
      </c>
      <c r="B51" s="231"/>
      <c r="C51" s="232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2016-04-28T08:15:57Z</cp:lastPrinted>
  <dcterms:created xsi:type="dcterms:W3CDTF">2015-10-14T08:35:33Z</dcterms:created>
  <dcterms:modified xsi:type="dcterms:W3CDTF">2016-05-09T09:37:11Z</dcterms:modified>
</cp:coreProperties>
</file>