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240" windowHeight="8475"/>
  </bookViews>
  <sheets>
    <sheet name="tableau 2" sheetId="3" r:id="rId1"/>
    <sheet name="tableau 3" sheetId="2" r:id="rId2"/>
    <sheet name="tableau 4" sheetId="5" r:id="rId3"/>
    <sheet name="tableau 5" sheetId="6" r:id="rId4"/>
    <sheet name="tableau 6" sheetId="4" r:id="rId5"/>
    <sheet name="tableau 7" sheetId="11" r:id="rId6"/>
    <sheet name="tableau8" sheetId="8" r:id="rId7"/>
    <sheet name="TABLEAU9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'tableau 2'!$B$1:$G$30</definedName>
    <definedName name="_xlnm.Print_Area" localSheetId="1">'tableau 3'!$A$1:$O$57</definedName>
  </definedNames>
  <calcPr calcId="145621"/>
</workbook>
</file>

<file path=xl/calcChain.xml><?xml version="1.0" encoding="utf-8"?>
<calcChain xmlns="http://schemas.openxmlformats.org/spreadsheetml/2006/main">
  <c r="B10" i="11" l="1"/>
  <c r="C10" i="11"/>
  <c r="D10" i="11"/>
  <c r="E10" i="11"/>
  <c r="E25" i="11" s="1"/>
  <c r="F10" i="11"/>
  <c r="F25" i="11" s="1"/>
  <c r="G10" i="11"/>
  <c r="H10" i="11"/>
  <c r="I10" i="11"/>
  <c r="J10" i="11"/>
  <c r="K10" i="11"/>
  <c r="L10" i="11"/>
  <c r="M10" i="11"/>
  <c r="M25" i="11" s="1"/>
  <c r="N10" i="11"/>
  <c r="N12" i="11"/>
  <c r="N13" i="11"/>
  <c r="N14" i="11"/>
  <c r="N15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7" i="11"/>
  <c r="N16" i="11" s="1"/>
  <c r="N45" i="11" s="1"/>
  <c r="N18" i="11"/>
  <c r="N19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N21" i="11"/>
  <c r="N20" i="11" s="1"/>
  <c r="N22" i="11"/>
  <c r="N23" i="11"/>
  <c r="N24" i="11"/>
  <c r="B25" i="11"/>
  <c r="B43" i="11" s="1"/>
  <c r="B44" i="11" s="1"/>
  <c r="C25" i="11"/>
  <c r="C43" i="11" s="1"/>
  <c r="D25" i="11"/>
  <c r="D43" i="11" s="1"/>
  <c r="G25" i="11"/>
  <c r="H25" i="11"/>
  <c r="H43" i="11" s="1"/>
  <c r="I25" i="11"/>
  <c r="I43" i="11" s="1"/>
  <c r="J25" i="11"/>
  <c r="J43" i="11" s="1"/>
  <c r="K25" i="11"/>
  <c r="K43" i="11" s="1"/>
  <c r="L25" i="11"/>
  <c r="L43" i="11" s="1"/>
  <c r="B27" i="11"/>
  <c r="C27" i="11"/>
  <c r="D27" i="11"/>
  <c r="E27" i="11"/>
  <c r="E42" i="11" s="1"/>
  <c r="F27" i="11"/>
  <c r="F42" i="11" s="1"/>
  <c r="G27" i="11"/>
  <c r="G42" i="11" s="1"/>
  <c r="G43" i="11" s="1"/>
  <c r="H27" i="11"/>
  <c r="I27" i="11"/>
  <c r="J27" i="11"/>
  <c r="K27" i="11"/>
  <c r="L27" i="11"/>
  <c r="M27" i="11"/>
  <c r="M42" i="11" s="1"/>
  <c r="N28" i="11"/>
  <c r="N27" i="11" s="1"/>
  <c r="N42" i="11" s="1"/>
  <c r="N29" i="11"/>
  <c r="N30" i="11"/>
  <c r="N31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N34" i="11"/>
  <c r="N36" i="11"/>
  <c r="B37" i="11"/>
  <c r="C37" i="11"/>
  <c r="D37" i="11"/>
  <c r="E37" i="11"/>
  <c r="F37" i="11"/>
  <c r="G37" i="11"/>
  <c r="H37" i="11"/>
  <c r="I37" i="11"/>
  <c r="J37" i="11"/>
  <c r="K37" i="11"/>
  <c r="L37" i="11"/>
  <c r="M37" i="11"/>
  <c r="N38" i="11"/>
  <c r="N37" i="11" s="1"/>
  <c r="B39" i="11"/>
  <c r="D39" i="11"/>
  <c r="N39" i="11"/>
  <c r="N40" i="11"/>
  <c r="N41" i="11"/>
  <c r="B42" i="11"/>
  <c r="C42" i="11"/>
  <c r="D42" i="11"/>
  <c r="H42" i="11"/>
  <c r="I42" i="11"/>
  <c r="J42" i="11"/>
  <c r="K42" i="11"/>
  <c r="L42" i="11"/>
  <c r="N46" i="11" l="1"/>
  <c r="N25" i="11"/>
  <c r="F43" i="11"/>
  <c r="M43" i="11"/>
  <c r="E43" i="11"/>
  <c r="C7" i="11"/>
  <c r="C44" i="11"/>
  <c r="D44" i="11" l="1"/>
  <c r="D7" i="11"/>
  <c r="E44" i="11" l="1"/>
  <c r="E7" i="11"/>
  <c r="F44" i="11" l="1"/>
  <c r="F7" i="11"/>
  <c r="G44" i="11" l="1"/>
  <c r="G7" i="11"/>
  <c r="H44" i="11" l="1"/>
  <c r="H7" i="11"/>
  <c r="I44" i="11" l="1"/>
  <c r="I7" i="11"/>
  <c r="J44" i="11" l="1"/>
  <c r="J7" i="11"/>
  <c r="K7" i="11" l="1"/>
  <c r="K44" i="11"/>
  <c r="L44" i="11" l="1"/>
  <c r="L7" i="11"/>
  <c r="M44" i="11" l="1"/>
  <c r="N44" i="11" s="1"/>
  <c r="M7" i="11"/>
  <c r="H53" i="9" l="1"/>
  <c r="G53" i="9"/>
  <c r="F53" i="9"/>
  <c r="E53" i="9"/>
  <c r="D53" i="9"/>
  <c r="C53" i="9"/>
  <c r="D9" i="4"/>
  <c r="D37" i="4"/>
  <c r="D36" i="4"/>
  <c r="H52" i="9"/>
  <c r="G52" i="9"/>
  <c r="E52" i="9"/>
  <c r="D52" i="9"/>
  <c r="L25" i="9"/>
  <c r="G25" i="9"/>
  <c r="H25" i="9" s="1"/>
  <c r="C25" i="9"/>
  <c r="G51" i="9"/>
  <c r="M25" i="9"/>
  <c r="D27" i="8"/>
  <c r="D26" i="8"/>
  <c r="D23" i="8"/>
  <c r="D15" i="8"/>
  <c r="D14" i="8"/>
  <c r="D24" i="8"/>
  <c r="D38" i="4"/>
  <c r="B38" i="4"/>
  <c r="B37" i="4"/>
  <c r="B36" i="4"/>
  <c r="B12" i="4"/>
  <c r="B11" i="4"/>
  <c r="B10" i="4"/>
  <c r="B9" i="4"/>
  <c r="D12" i="4"/>
  <c r="D11" i="4"/>
  <c r="D10" i="4"/>
  <c r="B12" i="5"/>
  <c r="B10" i="5"/>
  <c r="J51" i="2"/>
  <c r="I51" i="2"/>
  <c r="H51" i="2"/>
  <c r="G51" i="2"/>
  <c r="F51" i="2"/>
  <c r="E51" i="2"/>
  <c r="D51" i="2"/>
  <c r="C51" i="2"/>
  <c r="J50" i="2"/>
  <c r="I50" i="2"/>
  <c r="H50" i="2"/>
  <c r="G50" i="2"/>
  <c r="F50" i="2"/>
  <c r="E50" i="2"/>
  <c r="D50" i="2"/>
  <c r="C50" i="2"/>
  <c r="J49" i="2"/>
  <c r="I49" i="2"/>
  <c r="H49" i="2"/>
  <c r="G49" i="2"/>
  <c r="F49" i="2"/>
  <c r="E49" i="2"/>
  <c r="D49" i="2"/>
  <c r="C49" i="2"/>
  <c r="J48" i="2"/>
  <c r="I48" i="2"/>
  <c r="H48" i="2"/>
  <c r="G48" i="2"/>
  <c r="F48" i="2"/>
  <c r="E48" i="2"/>
  <c r="D48" i="2"/>
  <c r="C48" i="2"/>
  <c r="J47" i="2"/>
  <c r="I47" i="2"/>
  <c r="H47" i="2"/>
  <c r="G47" i="2"/>
  <c r="F47" i="2"/>
  <c r="E47" i="2"/>
  <c r="D47" i="2"/>
  <c r="C47" i="2"/>
  <c r="J46" i="2"/>
  <c r="I46" i="2"/>
  <c r="H46" i="2"/>
  <c r="G46" i="2"/>
  <c r="F46" i="2"/>
  <c r="E46" i="2"/>
  <c r="D46" i="2"/>
  <c r="C46" i="2"/>
  <c r="J45" i="2"/>
  <c r="I45" i="2"/>
  <c r="H45" i="2"/>
  <c r="G45" i="2"/>
  <c r="F45" i="2"/>
  <c r="E45" i="2"/>
  <c r="D45" i="2"/>
  <c r="C45" i="2"/>
  <c r="J44" i="2"/>
  <c r="I44" i="2"/>
  <c r="H44" i="2"/>
  <c r="G44" i="2"/>
  <c r="F44" i="2"/>
  <c r="E44" i="2"/>
  <c r="D44" i="2"/>
  <c r="C44" i="2"/>
  <c r="J43" i="2"/>
  <c r="I43" i="2"/>
  <c r="H43" i="2"/>
  <c r="G43" i="2"/>
  <c r="F43" i="2"/>
  <c r="E43" i="2"/>
  <c r="D43" i="2"/>
  <c r="C43" i="2"/>
  <c r="J42" i="2"/>
  <c r="I42" i="2"/>
  <c r="H42" i="2"/>
  <c r="G42" i="2"/>
  <c r="F42" i="2"/>
  <c r="E42" i="2"/>
  <c r="D42" i="2"/>
  <c r="C42" i="2"/>
  <c r="J41" i="2"/>
  <c r="I41" i="2"/>
  <c r="H41" i="2"/>
  <c r="G41" i="2"/>
  <c r="F41" i="2"/>
  <c r="E41" i="2"/>
  <c r="D41" i="2"/>
  <c r="C41" i="2"/>
  <c r="J40" i="2"/>
  <c r="I40" i="2"/>
  <c r="H40" i="2"/>
  <c r="G40" i="2"/>
  <c r="F40" i="2"/>
  <c r="E40" i="2"/>
  <c r="D40" i="2"/>
  <c r="C40" i="2"/>
  <c r="J39" i="2"/>
  <c r="I39" i="2"/>
  <c r="H39" i="2"/>
  <c r="G39" i="2"/>
  <c r="F39" i="2"/>
  <c r="E39" i="2"/>
  <c r="D39" i="2"/>
  <c r="C39" i="2"/>
  <c r="J28" i="2"/>
  <c r="I28" i="2"/>
  <c r="H28" i="2"/>
  <c r="G28" i="2"/>
  <c r="F28" i="2"/>
  <c r="E28" i="2"/>
  <c r="D28" i="2"/>
  <c r="C28" i="2"/>
  <c r="J27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D26" i="2"/>
  <c r="C26" i="2"/>
  <c r="J25" i="2"/>
  <c r="I25" i="2"/>
  <c r="H25" i="2"/>
  <c r="G25" i="2"/>
  <c r="F25" i="2"/>
  <c r="E25" i="2"/>
  <c r="D25" i="2"/>
  <c r="C25" i="2"/>
  <c r="J9" i="2"/>
  <c r="I9" i="2"/>
  <c r="H9" i="2"/>
  <c r="D20" i="3" s="1"/>
  <c r="G9" i="2"/>
  <c r="C20" i="3" s="1"/>
  <c r="F9" i="2"/>
  <c r="E9" i="2"/>
  <c r="D9" i="2"/>
  <c r="C9" i="2"/>
  <c r="O25" i="9" l="1"/>
  <c r="H24" i="2" l="1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F20" i="2"/>
  <c r="E20" i="2"/>
  <c r="D20" i="2"/>
  <c r="C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G10" i="8" l="1"/>
  <c r="H50" i="9" l="1"/>
  <c r="E51" i="9"/>
  <c r="H51" i="9" s="1"/>
  <c r="E50" i="9"/>
  <c r="L26" i="9"/>
  <c r="L31" i="9" s="1"/>
  <c r="K26" i="9"/>
  <c r="K31" i="9" s="1"/>
  <c r="J26" i="9"/>
  <c r="J31" i="9" s="1"/>
  <c r="I26" i="9"/>
  <c r="I31" i="9" s="1"/>
  <c r="G26" i="9"/>
  <c r="G31" i="9" s="1"/>
  <c r="F26" i="9"/>
  <c r="F31" i="9" s="1"/>
  <c r="E26" i="9"/>
  <c r="E31" i="9" s="1"/>
  <c r="D26" i="9"/>
  <c r="D31" i="9" s="1"/>
  <c r="C26" i="9"/>
  <c r="C31" i="9" s="1"/>
  <c r="M24" i="9"/>
  <c r="H24" i="9"/>
  <c r="H26" i="9" s="1"/>
  <c r="H31" i="9" s="1"/>
  <c r="O23" i="9"/>
  <c r="N23" i="9"/>
  <c r="M23" i="9"/>
  <c r="K23" i="9"/>
  <c r="H23" i="9"/>
  <c r="F23" i="9"/>
  <c r="N24" i="9" l="1"/>
  <c r="N26" i="9" s="1"/>
  <c r="N31" i="9" s="1"/>
  <c r="O24" i="9"/>
  <c r="O26" i="9" s="1"/>
  <c r="O31" i="9" s="1"/>
  <c r="M26" i="9"/>
  <c r="M31" i="9" s="1"/>
  <c r="C14" i="8"/>
  <c r="D12" i="8" l="1"/>
  <c r="E27" i="8"/>
  <c r="E15" i="8"/>
  <c r="E18" i="8"/>
  <c r="G12" i="8"/>
  <c r="E14" i="8"/>
  <c r="F18" i="8"/>
  <c r="G18" i="8"/>
  <c r="C18" i="8"/>
  <c r="F12" i="8"/>
  <c r="E12" i="8"/>
  <c r="C12" i="8"/>
  <c r="C29" i="8" s="1"/>
  <c r="F29" i="8" l="1"/>
  <c r="D18" i="8"/>
  <c r="D29" i="8" s="1"/>
  <c r="G29" i="8"/>
  <c r="E29" i="8"/>
  <c r="D10" i="8"/>
  <c r="E10" i="8" l="1"/>
  <c r="J13" i="2" l="1"/>
  <c r="D11" i="3"/>
  <c r="J21" i="2" l="1"/>
  <c r="K40" i="2"/>
  <c r="K41" i="2"/>
  <c r="K42" i="2"/>
  <c r="K45" i="2"/>
  <c r="K46" i="2"/>
  <c r="K48" i="2"/>
  <c r="K49" i="2"/>
  <c r="K50" i="2"/>
  <c r="I11" i="2"/>
  <c r="I13" i="2"/>
  <c r="I15" i="2"/>
  <c r="I17" i="2"/>
  <c r="I19" i="2"/>
  <c r="I21" i="2"/>
  <c r="I23" i="2"/>
  <c r="J11" i="2"/>
  <c r="J15" i="2"/>
  <c r="J17" i="2"/>
  <c r="J19" i="2"/>
  <c r="J23" i="2"/>
  <c r="I10" i="2"/>
  <c r="I12" i="2"/>
  <c r="I14" i="2"/>
  <c r="I16" i="2"/>
  <c r="I18" i="2"/>
  <c r="I20" i="2"/>
  <c r="I22" i="2"/>
  <c r="I24" i="2"/>
  <c r="K44" i="2"/>
  <c r="K39" i="2"/>
  <c r="K43" i="2"/>
  <c r="K47" i="2"/>
  <c r="K51" i="2"/>
  <c r="J10" i="2"/>
  <c r="J12" i="2"/>
  <c r="J14" i="2"/>
  <c r="J16" i="2"/>
  <c r="J18" i="2"/>
  <c r="J20" i="2"/>
  <c r="J22" i="2"/>
  <c r="J24" i="2"/>
  <c r="C11" i="3"/>
  <c r="F10" i="6"/>
  <c r="E10" i="6" l="1"/>
  <c r="F21" i="3" l="1"/>
  <c r="F14" i="3"/>
  <c r="F12" i="6" l="1"/>
  <c r="D18" i="5" s="1"/>
  <c r="E12" i="6"/>
  <c r="B18" i="5" s="1"/>
  <c r="D9" i="5"/>
  <c r="D22" i="5" l="1"/>
  <c r="D25" i="5"/>
  <c r="B27" i="4" l="1"/>
  <c r="B26" i="4"/>
  <c r="B25" i="4"/>
  <c r="J52" i="2"/>
  <c r="I52" i="2"/>
  <c r="F20" i="3" s="1"/>
  <c r="H52" i="2"/>
  <c r="F19" i="3" s="1"/>
  <c r="E52" i="2"/>
  <c r="D52" i="2"/>
  <c r="F13" i="3" s="1"/>
  <c r="F52" i="2"/>
  <c r="F15" i="3" s="1"/>
  <c r="G52" i="2"/>
  <c r="C52" i="2"/>
  <c r="F12" i="3" s="1"/>
  <c r="F16" i="3" l="1"/>
  <c r="D12" i="3"/>
  <c r="D29" i="2" l="1"/>
  <c r="F25" i="3" l="1"/>
  <c r="D13" i="4" l="1"/>
  <c r="K52" i="2"/>
  <c r="H29" i="2" l="1"/>
  <c r="G29" i="2"/>
  <c r="E29" i="2" l="1"/>
  <c r="C15" i="3" s="1"/>
  <c r="F29" i="2"/>
  <c r="D15" i="3" l="1"/>
  <c r="B13" i="4" l="1"/>
  <c r="D25" i="3"/>
  <c r="J29" i="2"/>
  <c r="D27" i="3" l="1"/>
  <c r="F27" i="3"/>
  <c r="B9" i="5" s="1"/>
  <c r="B22" i="5" s="1"/>
  <c r="D14" i="4"/>
  <c r="D15" i="4" s="1"/>
  <c r="B14" i="4"/>
  <c r="K54" i="2"/>
  <c r="J31" i="2"/>
  <c r="B22" i="4" l="1"/>
  <c r="B28" i="4" s="1"/>
  <c r="B23" i="5"/>
  <c r="B29" i="5" s="1"/>
  <c r="D23" i="5"/>
  <c r="B15" i="4"/>
  <c r="C29" i="2"/>
  <c r="D29" i="5" l="1"/>
  <c r="D27" i="5"/>
  <c r="D35" i="4"/>
  <c r="D40" i="4" s="1"/>
  <c r="B35" i="4"/>
  <c r="B40" i="4" s="1"/>
  <c r="C25" i="3"/>
  <c r="I29" i="2"/>
  <c r="B41" i="4" l="1"/>
  <c r="D41" i="4"/>
  <c r="D46" i="4" l="1"/>
</calcChain>
</file>

<file path=xl/sharedStrings.xml><?xml version="1.0" encoding="utf-8"?>
<sst xmlns="http://schemas.openxmlformats.org/spreadsheetml/2006/main" count="413" uniqueCount="318">
  <si>
    <t>POUR VOTE DE L'ORGANE DÉLIBÉRANT</t>
  </si>
  <si>
    <t>Compte de résultat prévisionnel</t>
  </si>
  <si>
    <t>CHARGES</t>
  </si>
  <si>
    <t>Montants</t>
  </si>
  <si>
    <t>PRODUITS</t>
  </si>
  <si>
    <t>Personnel</t>
  </si>
  <si>
    <t>Subventions de l'Etat</t>
  </si>
  <si>
    <t>dont charges de pensions civiles*</t>
  </si>
  <si>
    <t>Fiscalité affectée</t>
  </si>
  <si>
    <t>Fonctionnement autre que les charges de personnel et intervention</t>
  </si>
  <si>
    <t>Autres subventions</t>
  </si>
  <si>
    <t>Autres produits</t>
  </si>
  <si>
    <t>TOTAL DES CHARGES (1)</t>
  </si>
  <si>
    <t>TOTAL DES PRODUITS (2)</t>
  </si>
  <si>
    <t xml:space="preserve">Résultat prévisionnel : bénéfice   (3) = (2) - (1) </t>
  </si>
  <si>
    <t xml:space="preserve">Résultat prévisionnel : perte  (4) = (1) - (2) </t>
  </si>
  <si>
    <t>TOTAL EQUILIBRE du compte de résultat prévisionnel (1) + (3) = (2) + (4)</t>
  </si>
  <si>
    <t>TOTAL EQUILIBRE du compte de résultat prévisionnel (1) + (3)  = (2) + (4)</t>
  </si>
  <si>
    <t xml:space="preserve">* Il s'agit des sous catégories de comptes présentant les contributions employeur au CAS Pensions. </t>
  </si>
  <si>
    <t>Calcul de la capacité d'autofinancement (CAF)</t>
  </si>
  <si>
    <t>Résultat prévisionnel de l'exercice 
(bénéfice (3) ou perte (-4)</t>
  </si>
  <si>
    <t>+ (C 68) dotations aux amortissements, dépréciations et provisions</t>
  </si>
  <si>
    <t>- (C 78) reprises sur amortissements, dépréciations et provisions</t>
  </si>
  <si>
    <t>+ (C 675) valeur nette comptable des éléments d'actifs cédés</t>
  </si>
  <si>
    <t>- (C 775) produits de cession d'éléments d'actifs</t>
  </si>
  <si>
    <t>- (C 777) quote-part des subventions d’investissement virée au résultat de l’exercice</t>
  </si>
  <si>
    <t>= CAF ou IAF*</t>
  </si>
  <si>
    <t>* capacité d'autofinancement ou insuffisance d'autofinancement</t>
  </si>
  <si>
    <t>État prévisionnel de l'évolution de la situation patrimoniale en droits constatés</t>
  </si>
  <si>
    <t>EMPLOIS</t>
  </si>
  <si>
    <t>RESSOURCES</t>
  </si>
  <si>
    <t>Insuffisance d'autofinancement*</t>
  </si>
  <si>
    <t>Capacité d'autofinancement</t>
  </si>
  <si>
    <t>Investissements</t>
  </si>
  <si>
    <t>Financement de l'actif par l'État</t>
  </si>
  <si>
    <t>Financement de l'actif par des tiers autres que l'État</t>
  </si>
  <si>
    <t>Autres ressources</t>
  </si>
  <si>
    <t>Remboursement des dettes financières</t>
  </si>
  <si>
    <t>Augmentation des dettes financières</t>
  </si>
  <si>
    <t>TOTAL DES EMPLOIS (5)</t>
  </si>
  <si>
    <t>TOTAL DES RESSOURCES (6)</t>
  </si>
  <si>
    <t>APPORT au FONDS DE ROULEMENT (7) = (6)-(5)</t>
  </si>
  <si>
    <t>PRELEVEMENT sur FONDS DE ROULEMENT (8) = (5)-(6)</t>
  </si>
  <si>
    <t>POUR INFORMATION DE L'ORGANE DÉLIBÉRANT</t>
  </si>
  <si>
    <t>VARIATION DU FONDS DE ROULEMENT : APPORT (7) ou PRELEVEMENT (8</t>
  </si>
  <si>
    <t>Variation du BESOIN en FONDS DE ROULEMENT</t>
  </si>
  <si>
    <t>Variation de la TRESORERIE : ABONDEMENT (I) ou RELEVEMENT (II)</t>
  </si>
  <si>
    <t>Niveau du FONDS DE ROULEMENT</t>
  </si>
  <si>
    <t>Niveau du BESOIN EN FONDS DE ROULEMENT</t>
  </si>
  <si>
    <t>Niveau de la TRESORERIE</t>
  </si>
  <si>
    <t>Investissement</t>
  </si>
  <si>
    <t>AE</t>
  </si>
  <si>
    <t>CP</t>
  </si>
  <si>
    <t>D101 Formation initiale et continue Licence</t>
  </si>
  <si>
    <t>D102 Formation initiale et continue Master</t>
  </si>
  <si>
    <t>D103 Formation initiale et continue Doctorat</t>
  </si>
  <si>
    <t>D105 Bibliothèques et documentation</t>
  </si>
  <si>
    <t>D106 Recherche universitaire - science de la vie, biotechnologie et santé</t>
  </si>
  <si>
    <t>D111 Recherche universitaire - science de l'homme et de la société</t>
  </si>
  <si>
    <t>D113 Diffusion des savoirs et musées</t>
  </si>
  <si>
    <t>D114 Immobilier</t>
  </si>
  <si>
    <t>D115 Pilotage et support</t>
  </si>
  <si>
    <t>D2 Etudiants</t>
  </si>
  <si>
    <t>D201 Aides directes aux étudiants</t>
  </si>
  <si>
    <t>D203 Santé des étudiants activité associative</t>
  </si>
  <si>
    <t>Total</t>
  </si>
  <si>
    <t>Dépenses par destination et recettes par origine</t>
  </si>
  <si>
    <t>Tableau des dépenses par destination (obligatoire)</t>
  </si>
  <si>
    <t>Budget</t>
  </si>
  <si>
    <t>Dépenses de l’organisme</t>
  </si>
  <si>
    <t>Fonctionnement et intervention</t>
  </si>
  <si>
    <t>AE = CP</t>
  </si>
  <si>
    <t>D1 Dépenses  Programmes 150 et 231</t>
  </si>
  <si>
    <t>Formation initiale et continue</t>
  </si>
  <si>
    <t>D107 Recherche universitaire - mathématiques, sciences et techniques de l'information, micro et nano technologie</t>
  </si>
  <si>
    <t>D108 Recherche universitaire - physique, chimie et sciences pour l'ingénieur</t>
  </si>
  <si>
    <t>D109 Recherche universitaire - physique nucléaire et des hautes énergies</t>
  </si>
  <si>
    <t>D110 Recherche universitaire - science de la terre, de l'univers et de l'environnement</t>
  </si>
  <si>
    <t>D112 Recherche universitaire interdisciplinaire et transversale</t>
  </si>
  <si>
    <t>D202 Aides indirectes</t>
  </si>
  <si>
    <t>SOLDE BUDGETAIRE (excédent)</t>
  </si>
  <si>
    <t>Tableau des recettes par origine (obligatoire)</t>
  </si>
  <si>
    <t>Les axes d'origine, décidés en commun accord avec les tutelles, sont propres à l'organisme.</t>
  </si>
  <si>
    <t>Recettes de l'organisme</t>
  </si>
  <si>
    <t>Recettes globalisées</t>
  </si>
  <si>
    <t>Recettes fléchées</t>
  </si>
  <si>
    <t>Subvention pour charges de service public</t>
  </si>
  <si>
    <t>Autres financements de l'Etat</t>
  </si>
  <si>
    <t>Autres financements publics</t>
  </si>
  <si>
    <t>Recettes propres</t>
  </si>
  <si>
    <t>Financement de l'Etat fléchés</t>
  </si>
  <si>
    <t>Autres financements publics fléchés</t>
  </si>
  <si>
    <t>Recettes propres fléchées</t>
  </si>
  <si>
    <t>FD010 Subvention pour charges de service public</t>
  </si>
  <si>
    <t>Droits d'inscription</t>
  </si>
  <si>
    <t>FD020 Droits d'inscription</t>
  </si>
  <si>
    <t>Formation continue, diplômes propres et VAE</t>
  </si>
  <si>
    <t>FD030 Formation continue, diplômes propres et VAE</t>
  </si>
  <si>
    <t>Taxe d'apprentissage</t>
  </si>
  <si>
    <t>FD040 Taxe d'apprentissage</t>
  </si>
  <si>
    <t>Contrats et prestations de recherche hors ANR</t>
  </si>
  <si>
    <t>FD050 Contrats et prestations de recherche hors ANR</t>
  </si>
  <si>
    <t>Valorisation</t>
  </si>
  <si>
    <t>FD060 Valorisation</t>
  </si>
  <si>
    <t>ANR investissements d'avenir</t>
  </si>
  <si>
    <t>FD070 ANR investissements d'avenir</t>
  </si>
  <si>
    <t>ANR hors investissements d'avenir</t>
  </si>
  <si>
    <t>FD080 ANR hors investissements d'avenir</t>
  </si>
  <si>
    <t>Subventions d'exploitation et financement des actifs - Région</t>
  </si>
  <si>
    <t>FD090 Subventions d'exploitation et financement des actifs - Région</t>
  </si>
  <si>
    <t>Subventions d'exploitation et financement des actifs - Union Européenne</t>
  </si>
  <si>
    <t>FD100 Subventions d'exploitation et financement des actifs - Union Européenne</t>
  </si>
  <si>
    <t>Subventions d'exploitation et financement des actifs - Autres</t>
  </si>
  <si>
    <t>FD110 Subventions d'exploitation et financement des actifs - Autres</t>
  </si>
  <si>
    <t>Fondations - fonds propres, réserves, dons et legs</t>
  </si>
  <si>
    <t>FD120 Fondations - fonds propres, réserves, dons et legs</t>
  </si>
  <si>
    <t>Autres recettes</t>
  </si>
  <si>
    <t>FD130 Autres recettes</t>
  </si>
  <si>
    <t>SOLDE BUDGETAIRE (déficit)</t>
  </si>
  <si>
    <t>NB1 : La classification du compte 103- Fonds propres et réserves des fondations est laissée à la libre apprécition de l'établissement (financement Etat / autres financements publics / recettes propres)</t>
  </si>
  <si>
    <t>NB2 : Le tableau des recettes par origine doit être renseigné en prévision de recettes et correspondre avec le tableau du solde budgétaire. La mention des comptes PCG a vocation à donner une indication sur la nature des recettes à mentionner.</t>
  </si>
  <si>
    <t>Tableau 2</t>
  </si>
  <si>
    <t>Autorisations budgétaires en AE et CP, prévisions de recettes et solde budgétaire *</t>
  </si>
  <si>
    <t>Dépenses</t>
  </si>
  <si>
    <t>Recettes</t>
  </si>
  <si>
    <t>dont contributions employeur au CAS Pension</t>
  </si>
  <si>
    <t>RG_SCSP  Subvention pour charges de service public</t>
  </si>
  <si>
    <t>RG_ETAT  Autres financements de l'Etat</t>
  </si>
  <si>
    <t>RG_FISC  Fiscalité affectée</t>
  </si>
  <si>
    <t>RG_PUBL  Autres financements publics</t>
  </si>
  <si>
    <t>RG_RPRO  Recettes propres</t>
  </si>
  <si>
    <t>Recettes fléchées **</t>
  </si>
  <si>
    <t>Financements de l'Etat fléchés</t>
  </si>
  <si>
    <t>TOTAL DES DÉPENSES</t>
  </si>
  <si>
    <t>TOTAL DES RECETTES</t>
  </si>
  <si>
    <t>Solde budgétaire (excédent)</t>
  </si>
  <si>
    <t>Solde budgétaire (déficit)</t>
  </si>
  <si>
    <t>* Chaque enveloppe peut être détaillée en fonction des besoins des organismes.</t>
  </si>
  <si>
    <t>** Montant issu du tableau "Opérations sur recettes fléchées"</t>
  </si>
  <si>
    <t>Équilibre financier</t>
  </si>
  <si>
    <t>Besoins (utilisation des financements)</t>
  </si>
  <si>
    <t>Financements (couverture des besoins)</t>
  </si>
  <si>
    <r>
      <t xml:space="preserve">Solde budgétaire (déficit) </t>
    </r>
    <r>
      <rPr>
        <sz val="10"/>
        <color indexed="10"/>
        <rFont val="Trebuchet MS"/>
        <family val="2"/>
      </rPr>
      <t>*</t>
    </r>
  </si>
  <si>
    <r>
      <t xml:space="preserve">Solde budgétaire (excédent) </t>
    </r>
    <r>
      <rPr>
        <sz val="10"/>
        <color indexed="10"/>
        <rFont val="Trebuchet MS"/>
        <family val="2"/>
      </rPr>
      <t>*</t>
    </r>
  </si>
  <si>
    <t>dont solde budgétaire budget principal</t>
  </si>
  <si>
    <t>dont solde budgétaire budget du SAIC</t>
  </si>
  <si>
    <t>dont solde budgétaire FU</t>
  </si>
  <si>
    <t>dont solde budgétaire BAI</t>
  </si>
  <si>
    <t>dont solde budgétaire SIE</t>
  </si>
  <si>
    <r>
      <t>Remboursements d'emprunt</t>
    </r>
    <r>
      <rPr>
        <sz val="10"/>
        <rFont val="Trebuchet MS"/>
        <family val="2"/>
      </rPr>
      <t>s</t>
    </r>
  </si>
  <si>
    <t>Nouveaux emprunts</t>
  </si>
  <si>
    <r>
      <t xml:space="preserve">Opérations au nom et pour le compte de tiers </t>
    </r>
    <r>
      <rPr>
        <sz val="10"/>
        <color indexed="10"/>
        <rFont val="Trebuchet MS"/>
        <family val="2"/>
      </rPr>
      <t>**</t>
    </r>
    <r>
      <rPr>
        <sz val="10"/>
        <rFont val="Trebuchet MS"/>
        <family val="2"/>
      </rPr>
      <t xml:space="preserve">
(décaissements de l’exercice)</t>
    </r>
  </si>
  <si>
    <r>
      <t xml:space="preserve">Opérations au nom et pour le compte de tiers </t>
    </r>
    <r>
      <rPr>
        <sz val="10"/>
        <color indexed="10"/>
        <rFont val="Trebuchet MS"/>
        <family val="2"/>
      </rPr>
      <t>**</t>
    </r>
    <r>
      <rPr>
        <sz val="10"/>
        <rFont val="Trebuchet MS"/>
        <family val="2"/>
      </rPr>
      <t xml:space="preserve">
(encaissements de l’exercice)</t>
    </r>
  </si>
  <si>
    <t>Autres décaissements sur comptes de tiers
(non budgétaires)</t>
  </si>
  <si>
    <t>Autres encaissements sur comptes de tiers
(non budgétaires)</t>
  </si>
  <si>
    <t>Sous-total des opérations ayant un impact négatif sur la trésorerie de l'organisme (= D2+b1+c1+e1)</t>
  </si>
  <si>
    <t>et</t>
  </si>
  <si>
    <t>Sous-total des opérations ayant un impact positif sur la trésorerie de l'organisme (=D1+b2+c2+e2)</t>
  </si>
  <si>
    <t>Variation de trésorerie</t>
  </si>
  <si>
    <t>ou</t>
  </si>
  <si>
    <r>
      <t xml:space="preserve">dont Abondement de la trésorerie fléchée </t>
    </r>
    <r>
      <rPr>
        <i/>
        <sz val="10"/>
        <color indexed="10"/>
        <rFont val="Trebuchet MS"/>
        <family val="2"/>
      </rPr>
      <t>***</t>
    </r>
  </si>
  <si>
    <r>
      <t>dont Prélèvement sur la trésorerie fléchée</t>
    </r>
    <r>
      <rPr>
        <i/>
        <sz val="10"/>
        <color indexed="10"/>
        <rFont val="Trebuchet MS"/>
        <family val="2"/>
      </rPr>
      <t xml:space="preserve"> ***</t>
    </r>
  </si>
  <si>
    <t>dont Abondement de la trésorerie disponible (non fléchée)</t>
  </si>
  <si>
    <t>dont Prélèvement sur la trésorerie disponible (non fléchée)</t>
  </si>
  <si>
    <t>TOTAL DES BESOINS</t>
  </si>
  <si>
    <t>TOTAL DES FINANCEMENTS</t>
  </si>
  <si>
    <t>* solde budgétaire à détailler pour chaque composante du budget de l'établissement</t>
  </si>
  <si>
    <t xml:space="preserve">   Montant issu du tableau "Autorisations budgétaires"</t>
  </si>
  <si>
    <t>** Montants issus du tableau "Opérations pour compte de tiers"</t>
  </si>
  <si>
    <t>*** Montant issu du tableau "Opérations sur recettes fléchées"</t>
  </si>
  <si>
    <t>Tableau 5</t>
  </si>
  <si>
    <t>Suivi des opérations au nom et pour le compte de tiers</t>
  </si>
  <si>
    <t>Opérations ou regroupement d'opérations de même nature</t>
  </si>
  <si>
    <t>Comptes</t>
  </si>
  <si>
    <t>Libellé</t>
  </si>
  <si>
    <t>Prévisions de décaissements</t>
  </si>
  <si>
    <t>Prévisions d'encaissements</t>
  </si>
  <si>
    <t>C  4671</t>
  </si>
  <si>
    <t>C  47314</t>
  </si>
  <si>
    <t>TOTAL</t>
  </si>
  <si>
    <t>(c1) et (c2) étant repris au tableau "Équilibre financier"</t>
  </si>
  <si>
    <t>N.B. : Dans l'hypothèse d'un écart entre les crédits et les débits d'un même compte, l'opération concernée devra faire l'objet d'une explication spécifique.</t>
  </si>
  <si>
    <t>C1</t>
  </si>
  <si>
    <t>C2</t>
  </si>
  <si>
    <t>Tableau 8</t>
  </si>
  <si>
    <t>Plan de trésorerie</t>
  </si>
  <si>
    <t>( K€ TTC 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</si>
  <si>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</si>
  <si>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</si>
  <si>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</si>
  <si>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</si>
  <si>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</si>
  <si>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</si>
  <si>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</si>
  <si>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</si>
  <si>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</si>
  <si>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</si>
  <si>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</si>
  <si>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</si>
  <si>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Variation de la trésorerie annuelle</t>
  </si>
  <si>
    <t>(1) SOLDE INITIAL (début de mois)</t>
  </si>
  <si>
    <t>dont placements</t>
  </si>
  <si>
    <t>ENCAISSEMENTS</t>
  </si>
  <si>
    <t>A1. Recettes budgétaires globalisées</t>
  </si>
  <si>
    <t>A2 . Recettes budgétaires fléchées</t>
  </si>
  <si>
    <t xml:space="preserve">Autres financements publics </t>
  </si>
  <si>
    <t>A3. Opérations non budgétaires</t>
  </si>
  <si>
    <t>Opérations pour compte de tiers (encaissements de l’exercice) hors TVA</t>
  </si>
  <si>
    <t>TVA</t>
  </si>
  <si>
    <t>Autres encaissements sur comptes de tiers</t>
  </si>
  <si>
    <t>A. TOTAL</t>
  </si>
  <si>
    <t>DECAISSEMENTS</t>
  </si>
  <si>
    <t>B1. Enveloppes hors recettes fléchées</t>
  </si>
  <si>
    <t xml:space="preserve">Fonctionnement </t>
  </si>
  <si>
    <t xml:space="preserve">Intervention </t>
  </si>
  <si>
    <t>B2. Dépenses sur recettes fléchées</t>
  </si>
  <si>
    <t>B3.Opérations non budgétaires</t>
  </si>
  <si>
    <t>Remboursements d'emprunts</t>
  </si>
  <si>
    <t>Opérations pour compte de tiers (décaissements de l’exercice) hors TVA</t>
  </si>
  <si>
    <t>Autres décaissements sur comptes de tiers</t>
  </si>
  <si>
    <t>B. TOTAL</t>
  </si>
  <si>
    <t>(2) SOLDE DU MOIS = A - B</t>
  </si>
  <si>
    <t>(I) ou (II)*</t>
  </si>
  <si>
    <t>SOLDE CUMULE (1) + (2)</t>
  </si>
  <si>
    <t>dont trésorerie fléchée</t>
  </si>
  <si>
    <t>* Variation de trésorerie correspondant à celle du tableau d'équilibre financier</t>
  </si>
  <si>
    <t>dont trésorerie sur op. non budgétaires</t>
  </si>
  <si>
    <t>RFID LILLE III</t>
  </si>
  <si>
    <t>SECURITE SOCIALE ETUDIANTE</t>
  </si>
  <si>
    <t>dont solde budgétaire EQUIPEX</t>
  </si>
  <si>
    <t>dont solde budgétaire budget propre intégré ESPE</t>
  </si>
  <si>
    <t>dont solde budgétaire de Campus Grand Lille</t>
  </si>
  <si>
    <t>SATT</t>
  </si>
  <si>
    <t>C 4671</t>
  </si>
  <si>
    <t>Opérations liées aux recettes fléchées</t>
  </si>
  <si>
    <t xml:space="preserve">Suivi des opérations liées aux recettes fléchées </t>
  </si>
  <si>
    <t>Antérieures à N
non dénouées</t>
  </si>
  <si>
    <t>N</t>
  </si>
  <si>
    <t>N+1</t>
  </si>
  <si>
    <t>N+2</t>
  </si>
  <si>
    <t>N+3</t>
  </si>
  <si>
    <t>Position de financement des opérations fléchées en début d'exercice (a)</t>
  </si>
  <si>
    <t>Recettes fléchées (b)</t>
  </si>
  <si>
    <t>Financements de l'État fléchés</t>
  </si>
  <si>
    <t>Dépenses sur recettes fléchées (c)</t>
  </si>
  <si>
    <t>AE=CP</t>
  </si>
  <si>
    <t>Solde budgétaire de l'exercice résultant des opérations fléchées (b) - (c)</t>
  </si>
  <si>
    <t>Tableau 7</t>
  </si>
  <si>
    <t>campus sport</t>
  </si>
  <si>
    <t>Tableau 9</t>
  </si>
  <si>
    <t>Tableau des opérations pluriannuelles</t>
  </si>
  <si>
    <t>A - Dépenses</t>
  </si>
  <si>
    <t>Opérations</t>
  </si>
  <si>
    <t>Montant de l'opération</t>
  </si>
  <si>
    <t>Autorisations d'engagement</t>
  </si>
  <si>
    <t>Crédits de paiement</t>
  </si>
  <si>
    <t>Restes</t>
  </si>
  <si>
    <t xml:space="preserve">AE
ouvertes
au titre des années antérieures
</t>
  </si>
  <si>
    <t>AE consommées au titre des années antérieures</t>
  </si>
  <si>
    <t>AE
reportées ou reprogrammées
en année n</t>
  </si>
  <si>
    <t>AE nouvelles ouvertes en année n</t>
  </si>
  <si>
    <t>Total des AE ouvertes pour l'année n</t>
  </si>
  <si>
    <t>CP
ouverts
au titre des années antérieures</t>
  </si>
  <si>
    <t>CP consommés
au titre des années antérieures</t>
  </si>
  <si>
    <t>CP
reportés ou reprogrammés
en année n</t>
  </si>
  <si>
    <t>CP nouveaux ouverts en
année n</t>
  </si>
  <si>
    <t>Total des CP
ouverts pour
l'année n</t>
  </si>
  <si>
    <t>Restes à engager en fin d'année n
(AE)</t>
  </si>
  <si>
    <t>Restes à payer sur AE consommées
en fin d'année n
(CP)</t>
  </si>
  <si>
    <t>(1)</t>
  </si>
  <si>
    <t>(2)</t>
  </si>
  <si>
    <t>(3)</t>
  </si>
  <si>
    <r>
      <t>(4)</t>
    </r>
    <r>
      <rPr>
        <sz val="10"/>
        <rFont val="Arial Narrow"/>
        <family val="2"/>
      </rPr>
      <t>&lt;=(2)-(3)</t>
    </r>
  </si>
  <si>
    <t>(5)</t>
  </si>
  <si>
    <t>(6) = (4)+(5)</t>
  </si>
  <si>
    <t>(7)</t>
  </si>
  <si>
    <t>(8)</t>
  </si>
  <si>
    <t>(9)&lt;=(7-8)</t>
  </si>
  <si>
    <t>(10)</t>
  </si>
  <si>
    <t>(11)=(9)+(10)</t>
  </si>
  <si>
    <t>(12)=(1)-(3)-(6)</t>
  </si>
  <si>
    <t>(13)=(3)+(6)-(8)-(11)</t>
  </si>
  <si>
    <t>Op. 1</t>
  </si>
  <si>
    <t>Op. 2</t>
  </si>
  <si>
    <t>Op. 3</t>
  </si>
  <si>
    <t xml:space="preserve"> total contrats de recherche</t>
  </si>
  <si>
    <t>total contrats de formation continue</t>
  </si>
  <si>
    <t>Total contrats d'enseignement</t>
  </si>
  <si>
    <t>Total programmes pluriannuels d'investissement</t>
  </si>
  <si>
    <t>pour information, répartition des opérations pluriannuelles par enveloppes :</t>
  </si>
  <si>
    <t>Ss total personnel</t>
  </si>
  <si>
    <t>Ss total fonctionnement et intervention</t>
  </si>
  <si>
    <t>Ss total investissement</t>
  </si>
  <si>
    <t>B - Recettes</t>
  </si>
  <si>
    <t>Prélèvement sur la trésorerie</t>
  </si>
  <si>
    <t>Financements extérieurs</t>
  </si>
  <si>
    <t>Montant</t>
  </si>
  <si>
    <t>Encaissements
au titre des années antérieures</t>
  </si>
  <si>
    <t>Encaissements pour l'année n</t>
  </si>
  <si>
    <t>Restes à encaisser</t>
  </si>
  <si>
    <t>(14)</t>
  </si>
  <si>
    <t>(15)=(1)-(14)</t>
  </si>
  <si>
    <t>(16)</t>
  </si>
  <si>
    <t>(17)</t>
  </si>
  <si>
    <t>(18)=(15)-(16)-(17)</t>
  </si>
  <si>
    <t>COMMENTAIRES SUR LES TABLEAUX DE SUIVI DES OPÉRATIONS PLURIANNUELLES</t>
  </si>
  <si>
    <t>Les opérations sont identifiées par un nom et un millésime ; elles peuvent ne pas être toutes individualisées et faire l'objet de regroupements, un niveau de détail suffisant au regard des caractéristiques de l'établissements devant néanmoins être maintenu ;</t>
  </si>
  <si>
    <t>Le degré d'exigence quant à la précision de l'évaluation, au budget initial, des reports prévisibles devra être fonction des contraintes qui pèsent sur les établissements pour établir ce chiffrage, notamment pour les contrats de recherche ;</t>
  </si>
  <si>
    <t>En recettes, une ligne devrait être maintenue, même après la fin d'une opération tant que la totalité des financements extérieurs n'a pas été recouvrée ;</t>
  </si>
  <si>
    <t>Pour les contrats de recherche, ne devrait être indiquée au titre de l'autofinancement que, le cas échéant, la participation de l'établissement qui doit donner lieu à justification en application du contrat.</t>
  </si>
  <si>
    <t>cp1</t>
  </si>
  <si>
    <t>Tableau 3 - BUDGET AGREGE</t>
  </si>
  <si>
    <t>Tableau 4 - BUDGET AGREGE</t>
  </si>
  <si>
    <t>Tableau 6 - BUDGET AGREGE</t>
  </si>
  <si>
    <t>Autorisations budgétaires- BUDGET RECTIFICATIF AGREGE</t>
  </si>
  <si>
    <t>Opérations pour le compte de tiers - budget rectificatif</t>
  </si>
  <si>
    <t>Situation patrimoniale - budget rectificatif</t>
  </si>
  <si>
    <t>cp2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</si>
</sst>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0\ &quot;F&quot;_-;\-* #,##0.00\ &quot;F&quot;_-;_-* &quot;-&quot;??\ &quot;F&quot;_-;_-@_-"/>
  </numFmts>
  <fonts count="57" x14ac:knownFonts="1">
    <font>
      <sz val="11"/>
      <color theme="1"/>
      <name val="Calibri"/>
      <family val="2"/>
      <scheme val="minor"/>
    </font>
    <font>
      <b/>
      <sz val="12"/>
      <color indexed="17"/>
      <name val="Trebuchet MS"/>
      <family val="2"/>
    </font>
    <font>
      <sz val="12"/>
      <color indexed="59"/>
      <name val="Trebuchet MS"/>
      <family val="2"/>
    </font>
    <font>
      <sz val="12"/>
      <name val="Trebuchet MS"/>
      <family val="2"/>
    </font>
    <font>
      <b/>
      <i/>
      <u/>
      <sz val="12"/>
      <color indexed="56"/>
      <name val="Trebuchet MS"/>
      <family val="2"/>
    </font>
    <font>
      <b/>
      <i/>
      <sz val="12"/>
      <name val="Trebuchet MS"/>
      <family val="2"/>
    </font>
    <font>
      <b/>
      <sz val="10"/>
      <color indexed="9"/>
      <name val="Trebuchet MS"/>
      <family val="2"/>
    </font>
    <font>
      <b/>
      <i/>
      <sz val="18"/>
      <name val="Trebuchet MS"/>
      <family val="2"/>
    </font>
    <font>
      <b/>
      <i/>
      <sz val="18"/>
      <color indexed="9"/>
      <name val="Trebuchet MS"/>
      <family val="2"/>
    </font>
    <font>
      <sz val="10"/>
      <name val="Trebuchet MS"/>
      <family val="2"/>
    </font>
    <font>
      <b/>
      <sz val="10"/>
      <color indexed="17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color indexed="10"/>
      <name val="Trebuchet MS"/>
      <family val="2"/>
    </font>
    <font>
      <b/>
      <i/>
      <sz val="10"/>
      <name val="Trebuchet MS"/>
      <family val="2"/>
    </font>
    <font>
      <i/>
      <sz val="10"/>
      <color indexed="10"/>
      <name val="Trebuchet MS"/>
      <family val="2"/>
    </font>
    <font>
      <sz val="10"/>
      <name val="Arial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b/>
      <sz val="12"/>
      <color indexed="59"/>
      <name val="Trebuchet MS"/>
      <family val="2"/>
    </font>
    <font>
      <sz val="10"/>
      <color indexed="59"/>
      <name val="Trebuchet MS"/>
      <family val="2"/>
    </font>
    <font>
      <b/>
      <i/>
      <sz val="18"/>
      <color indexed="59"/>
      <name val="Trebuchet MS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Trebuchet MS"/>
      <family val="2"/>
    </font>
    <font>
      <b/>
      <sz val="12"/>
      <color indexed="56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14"/>
      <color indexed="59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i/>
      <sz val="9"/>
      <name val="Trebuchet MS"/>
      <family val="2"/>
    </font>
    <font>
      <sz val="9"/>
      <color indexed="10"/>
      <name val="Trebuchet MS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b/>
      <i/>
      <sz val="18"/>
      <color indexed="9"/>
      <name val="Arial"/>
      <family val="2"/>
    </font>
    <font>
      <b/>
      <i/>
      <sz val="18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color indexed="59"/>
      <name val="Arial"/>
      <family val="2"/>
    </font>
    <font>
      <b/>
      <sz val="12"/>
      <color indexed="56"/>
      <name val="Arial"/>
      <family val="2"/>
    </font>
    <font>
      <b/>
      <sz val="14"/>
      <color indexed="59"/>
      <name val="Arial"/>
      <family val="2"/>
    </font>
    <font>
      <sz val="10"/>
      <color indexed="59"/>
      <name val="Arial"/>
      <family val="2"/>
    </font>
    <font>
      <b/>
      <i/>
      <sz val="18"/>
      <color indexed="59"/>
      <name val="Arial"/>
      <family val="2"/>
    </font>
    <font>
      <sz val="10"/>
      <name val="Arial Narrow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8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0" fontId="22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36" fillId="0" borderId="0"/>
  </cellStyleXfs>
  <cellXfs count="575">
    <xf numFmtId="0" fontId="0" fillId="0" borderId="0" xfId="0"/>
    <xf numFmtId="0" fontId="1" fillId="2" borderId="0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0" fontId="12" fillId="0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/>
    </xf>
    <xf numFmtId="0" fontId="12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vertical="center"/>
    </xf>
    <xf numFmtId="0" fontId="17" fillId="0" borderId="0" xfId="1" applyFont="1" applyFill="1" applyBorder="1"/>
    <xf numFmtId="0" fontId="9" fillId="0" borderId="0" xfId="1" applyFont="1" applyFill="1" applyBorder="1"/>
    <xf numFmtId="3" fontId="11" fillId="0" borderId="2" xfId="1" applyNumberFormat="1" applyFont="1" applyBorder="1" applyAlignment="1">
      <alignment vertical="center"/>
    </xf>
    <xf numFmtId="0" fontId="9" fillId="0" borderId="2" xfId="1" quotePrefix="1" applyFont="1" applyBorder="1" applyAlignment="1">
      <alignment horizontal="left" vertical="center" wrapText="1"/>
    </xf>
    <xf numFmtId="3" fontId="11" fillId="0" borderId="2" xfId="2" applyNumberFormat="1" applyFont="1" applyBorder="1" applyAlignment="1">
      <alignment vertical="center"/>
    </xf>
    <xf numFmtId="0" fontId="11" fillId="0" borderId="0" xfId="1" applyFont="1" applyFill="1"/>
    <xf numFmtId="0" fontId="9" fillId="0" borderId="0" xfId="1" applyFont="1" applyFill="1"/>
    <xf numFmtId="0" fontId="10" fillId="2" borderId="0" xfId="0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wrapText="1"/>
    </xf>
    <xf numFmtId="4" fontId="18" fillId="2" borderId="0" xfId="0" applyNumberFormat="1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wrapText="1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0" fontId="9" fillId="4" borderId="0" xfId="0" applyFont="1" applyFill="1" applyAlignment="1">
      <alignment vertical="center"/>
    </xf>
    <xf numFmtId="3" fontId="11" fillId="0" borderId="5" xfId="1" applyNumberFormat="1" applyFont="1" applyFill="1" applyBorder="1"/>
    <xf numFmtId="3" fontId="13" fillId="0" borderId="7" xfId="1" applyNumberFormat="1" applyFont="1" applyFill="1" applyBorder="1"/>
    <xf numFmtId="3" fontId="11" fillId="0" borderId="11" xfId="1" applyNumberFormat="1" applyFont="1" applyFill="1" applyBorder="1"/>
    <xf numFmtId="3" fontId="13" fillId="0" borderId="12" xfId="1" applyNumberFormat="1" applyFont="1" applyFill="1" applyBorder="1"/>
    <xf numFmtId="3" fontId="13" fillId="0" borderId="11" xfId="1" applyNumberFormat="1" applyFont="1" applyFill="1" applyBorder="1"/>
    <xf numFmtId="0" fontId="3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/>
    <xf numFmtId="0" fontId="20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21" fillId="0" borderId="0" xfId="1" applyFont="1" applyFill="1" applyBorder="1" applyAlignment="1">
      <alignment horizontal="centerContinuous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Border="1"/>
    <xf numFmtId="0" fontId="9" fillId="0" borderId="0" xfId="1" applyFont="1" applyFill="1" applyBorder="1" applyAlignment="1"/>
    <xf numFmtId="0" fontId="6" fillId="5" borderId="3" xfId="3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left" vertical="center"/>
    </xf>
    <xf numFmtId="3" fontId="11" fillId="6" borderId="2" xfId="3" applyNumberFormat="1" applyFont="1" applyFill="1" applyBorder="1"/>
    <xf numFmtId="0" fontId="13" fillId="0" borderId="0" xfId="1" applyFont="1" applyFill="1" applyBorder="1" applyAlignment="1"/>
    <xf numFmtId="0" fontId="9" fillId="0" borderId="2" xfId="3" applyFont="1" applyBorder="1" applyAlignment="1">
      <alignment horizontal="left" vertical="center"/>
    </xf>
    <xf numFmtId="3" fontId="9" fillId="0" borderId="2" xfId="3" quotePrefix="1" applyNumberFormat="1" applyFont="1" applyBorder="1"/>
    <xf numFmtId="3" fontId="9" fillId="0" borderId="2" xfId="3" applyNumberFormat="1" applyFont="1" applyFill="1" applyBorder="1"/>
    <xf numFmtId="3" fontId="11" fillId="0" borderId="2" xfId="3" quotePrefix="1" applyNumberFormat="1" applyFont="1" applyBorder="1"/>
    <xf numFmtId="0" fontId="23" fillId="0" borderId="0" xfId="0" quotePrefix="1" applyFont="1" applyBorder="1" applyAlignment="1">
      <alignment vertical="center"/>
    </xf>
    <xf numFmtId="0" fontId="9" fillId="0" borderId="2" xfId="3" applyFont="1" applyBorder="1" applyAlignment="1">
      <alignment horizontal="left" vertical="center" wrapText="1" indent="1"/>
    </xf>
    <xf numFmtId="3" fontId="9" fillId="0" borderId="2" xfId="3" applyNumberFormat="1" applyFont="1" applyBorder="1"/>
    <xf numFmtId="3" fontId="11" fillId="0" borderId="2" xfId="3" applyNumberFormat="1" applyFont="1" applyBorder="1"/>
    <xf numFmtId="0" fontId="9" fillId="0" borderId="2" xfId="3" applyFont="1" applyFill="1" applyBorder="1" applyAlignment="1">
      <alignment horizontal="left" vertical="center" wrapText="1" indent="1"/>
    </xf>
    <xf numFmtId="0" fontId="23" fillId="0" borderId="0" xfId="1" applyFont="1" applyFill="1" applyBorder="1" applyAlignment="1"/>
    <xf numFmtId="0" fontId="9" fillId="0" borderId="0" xfId="0" applyFont="1" applyFill="1" applyAlignment="1">
      <alignment vertical="center"/>
    </xf>
    <xf numFmtId="0" fontId="9" fillId="0" borderId="2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/>
    </xf>
    <xf numFmtId="0" fontId="9" fillId="0" borderId="0" xfId="3" applyFont="1" applyFill="1"/>
    <xf numFmtId="0" fontId="11" fillId="6" borderId="2" xfId="3" applyFont="1" applyFill="1" applyBorder="1" applyAlignment="1">
      <alignment horizontal="left" vertical="center" wrapText="1"/>
    </xf>
    <xf numFmtId="3" fontId="11" fillId="6" borderId="2" xfId="3" quotePrefix="1" applyNumberFormat="1" applyFont="1" applyFill="1" applyBorder="1"/>
    <xf numFmtId="0" fontId="9" fillId="0" borderId="0" xfId="3" quotePrefix="1" applyFont="1" applyFill="1" applyBorder="1"/>
    <xf numFmtId="0" fontId="9" fillId="0" borderId="0" xfId="3" applyFont="1"/>
    <xf numFmtId="0" fontId="9" fillId="0" borderId="2" xfId="3" applyFont="1" applyBorder="1" applyAlignment="1">
      <alignment horizontal="left" vertical="center" wrapText="1"/>
    </xf>
    <xf numFmtId="0" fontId="11" fillId="5" borderId="2" xfId="3" applyFont="1" applyFill="1" applyBorder="1" applyAlignment="1">
      <alignment horizontal="center" vertical="center" wrapText="1"/>
    </xf>
    <xf numFmtId="3" fontId="11" fillId="5" borderId="2" xfId="3" applyNumberFormat="1" applyFont="1" applyFill="1" applyBorder="1" applyAlignment="1">
      <alignment horizontal="center" vertical="center" wrapText="1"/>
    </xf>
    <xf numFmtId="3" fontId="9" fillId="0" borderId="0" xfId="3" applyNumberFormat="1" applyFont="1"/>
    <xf numFmtId="0" fontId="11" fillId="7" borderId="13" xfId="1" applyFont="1" applyFill="1" applyBorder="1" applyAlignment="1">
      <alignment horizontal="left" vertical="center"/>
    </xf>
    <xf numFmtId="0" fontId="11" fillId="7" borderId="15" xfId="1" applyFont="1" applyFill="1" applyBorder="1" applyAlignment="1">
      <alignment horizontal="left" vertical="center"/>
    </xf>
    <xf numFmtId="3" fontId="11" fillId="7" borderId="2" xfId="3" quotePrefix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center" vertical="center" wrapText="1"/>
    </xf>
    <xf numFmtId="3" fontId="11" fillId="5" borderId="13" xfId="1" applyNumberFormat="1" applyFont="1" applyFill="1" applyBorder="1" applyAlignment="1">
      <alignment vertical="center" wrapText="1"/>
    </xf>
    <xf numFmtId="3" fontId="11" fillId="5" borderId="18" xfId="1" applyNumberFormat="1" applyFont="1" applyFill="1" applyBorder="1" applyAlignment="1">
      <alignment vertical="center" wrapText="1"/>
    </xf>
    <xf numFmtId="3" fontId="11" fillId="5" borderId="19" xfId="1" applyNumberFormat="1" applyFont="1" applyFill="1" applyBorder="1" applyAlignment="1">
      <alignment vertical="center" wrapText="1"/>
    </xf>
    <xf numFmtId="3" fontId="11" fillId="5" borderId="20" xfId="1" applyNumberFormat="1" applyFont="1" applyFill="1" applyBorder="1" applyAlignment="1">
      <alignment vertical="center" wrapText="1"/>
    </xf>
    <xf numFmtId="3" fontId="11" fillId="5" borderId="15" xfId="1" applyNumberFormat="1" applyFont="1" applyFill="1" applyBorder="1" applyAlignment="1">
      <alignment vertical="center" wrapText="1"/>
    </xf>
    <xf numFmtId="3" fontId="11" fillId="5" borderId="2" xfId="1" applyNumberFormat="1" applyFont="1" applyFill="1" applyBorder="1" applyAlignment="1">
      <alignment vertical="center"/>
    </xf>
    <xf numFmtId="3" fontId="11" fillId="7" borderId="2" xfId="1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65" fontId="2" fillId="0" borderId="0" xfId="4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165" fontId="2" fillId="0" borderId="0" xfId="4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9" fillId="0" borderId="0" xfId="4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4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4" fillId="0" borderId="0" xfId="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9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5" fontId="9" fillId="0" borderId="2" xfId="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vertical="center"/>
    </xf>
    <xf numFmtId="3" fontId="9" fillId="0" borderId="2" xfId="4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3" fontId="9" fillId="0" borderId="2" xfId="4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4" xfId="4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" fontId="11" fillId="5" borderId="2" xfId="4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1" applyFont="1" applyFill="1"/>
    <xf numFmtId="0" fontId="9" fillId="0" borderId="0" xfId="1" applyFont="1" applyAlignment="1">
      <alignment vertical="center" wrapText="1"/>
    </xf>
    <xf numFmtId="0" fontId="9" fillId="2" borderId="0" xfId="1" applyFont="1" applyFill="1" applyAlignment="1">
      <alignment vertical="center"/>
    </xf>
    <xf numFmtId="165" fontId="9" fillId="2" borderId="0" xfId="2" applyNumberFormat="1" applyFont="1" applyFill="1" applyAlignment="1">
      <alignment vertical="center"/>
    </xf>
    <xf numFmtId="0" fontId="7" fillId="2" borderId="0" xfId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3" fontId="9" fillId="0" borderId="2" xfId="2" applyNumberFormat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1" fillId="0" borderId="2" xfId="1" applyFont="1" applyBorder="1" applyAlignment="1">
      <alignment vertical="center" wrapText="1"/>
    </xf>
    <xf numFmtId="0" fontId="9" fillId="2" borderId="2" xfId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left" vertical="center"/>
    </xf>
    <xf numFmtId="0" fontId="12" fillId="2" borderId="2" xfId="1" applyFont="1" applyFill="1" applyBorder="1" applyAlignment="1">
      <alignment horizontal="right" vertical="center"/>
    </xf>
    <xf numFmtId="3" fontId="9" fillId="0" borderId="4" xfId="2" applyNumberFormat="1" applyFont="1" applyBorder="1" applyAlignment="1">
      <alignment horizontal="right" vertical="center"/>
    </xf>
    <xf numFmtId="0" fontId="12" fillId="2" borderId="2" xfId="1" applyFont="1" applyFill="1" applyBorder="1" applyAlignment="1">
      <alignment horizontal="left" vertical="center"/>
    </xf>
    <xf numFmtId="0" fontId="9" fillId="0" borderId="2" xfId="1" applyFont="1" applyBorder="1" applyAlignment="1">
      <alignment horizontal="right" vertical="center" wrapText="1"/>
    </xf>
    <xf numFmtId="0" fontId="9" fillId="2" borderId="2" xfId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right" vertical="center"/>
    </xf>
    <xf numFmtId="0" fontId="12" fillId="0" borderId="2" xfId="1" applyFont="1" applyFill="1" applyBorder="1" applyAlignment="1">
      <alignment horizontal="righ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2" xfId="1" applyFont="1" applyFill="1" applyBorder="1" applyAlignment="1">
      <alignment horizontal="right" vertical="center"/>
    </xf>
    <xf numFmtId="3" fontId="12" fillId="0" borderId="4" xfId="2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left" vertical="center"/>
    </xf>
    <xf numFmtId="0" fontId="9" fillId="8" borderId="0" xfId="1" applyFont="1" applyFill="1" applyBorder="1" applyAlignment="1">
      <alignment horizontal="center" vertical="center"/>
    </xf>
    <xf numFmtId="0" fontId="0" fillId="8" borderId="0" xfId="0" applyFill="1"/>
    <xf numFmtId="0" fontId="11" fillId="9" borderId="3" xfId="1" applyFont="1" applyFill="1" applyBorder="1" applyAlignment="1">
      <alignment horizontal="right" vertical="center" wrapText="1"/>
    </xf>
    <xf numFmtId="3" fontId="11" fillId="9" borderId="5" xfId="2" quotePrefix="1" applyNumberFormat="1" applyFont="1" applyFill="1" applyBorder="1" applyAlignment="1">
      <alignment horizontal="right" vertical="center"/>
    </xf>
    <xf numFmtId="0" fontId="11" fillId="9" borderId="23" xfId="1" applyFont="1" applyFill="1" applyBorder="1" applyAlignment="1">
      <alignment horizontal="right" vertical="center" wrapText="1"/>
    </xf>
    <xf numFmtId="3" fontId="9" fillId="9" borderId="23" xfId="2" applyNumberFormat="1" applyFont="1" applyFill="1" applyBorder="1" applyAlignment="1">
      <alignment horizontal="right" vertical="center"/>
    </xf>
    <xf numFmtId="0" fontId="11" fillId="9" borderId="3" xfId="1" applyFont="1" applyFill="1" applyBorder="1" applyAlignment="1">
      <alignment horizontal="left" vertical="center" wrapText="1"/>
    </xf>
    <xf numFmtId="0" fontId="11" fillId="9" borderId="23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right" vertical="center" wrapText="1"/>
    </xf>
    <xf numFmtId="3" fontId="11" fillId="9" borderId="2" xfId="2" quotePrefix="1" applyNumberFormat="1" applyFont="1" applyFill="1" applyBorder="1" applyAlignment="1">
      <alignment horizontal="right" vertical="center"/>
    </xf>
    <xf numFmtId="0" fontId="11" fillId="9" borderId="2" xfId="1" applyFont="1" applyFill="1" applyBorder="1" applyAlignment="1">
      <alignment horizontal="left" vertical="center" wrapText="1"/>
    </xf>
    <xf numFmtId="0" fontId="3" fillId="0" borderId="0" xfId="1" applyFont="1"/>
    <xf numFmtId="0" fontId="1" fillId="2" borderId="0" xfId="0" applyFont="1" applyFill="1" applyBorder="1" applyAlignment="1">
      <alignment vertical="center"/>
    </xf>
    <xf numFmtId="165" fontId="9" fillId="2" borderId="0" xfId="5" applyNumberFormat="1" applyFont="1" applyFill="1"/>
    <xf numFmtId="0" fontId="28" fillId="0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left" vertical="center"/>
    </xf>
    <xf numFmtId="165" fontId="7" fillId="0" borderId="0" xfId="5" applyNumberFormat="1" applyFont="1" applyFill="1" applyBorder="1" applyAlignment="1">
      <alignment vertical="center"/>
    </xf>
    <xf numFmtId="0" fontId="21" fillId="4" borderId="0" xfId="1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vertical="center"/>
    </xf>
    <xf numFmtId="165" fontId="7" fillId="2" borderId="0" xfId="5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9" fillId="0" borderId="25" xfId="1" applyFont="1" applyBorder="1" applyAlignment="1">
      <alignment vertical="center"/>
    </xf>
    <xf numFmtId="3" fontId="9" fillId="0" borderId="25" xfId="1" applyNumberFormat="1" applyFont="1" applyBorder="1" applyAlignment="1">
      <alignment horizontal="right" vertical="center"/>
    </xf>
    <xf numFmtId="0" fontId="9" fillId="0" borderId="26" xfId="1" applyFont="1" applyBorder="1" applyAlignment="1">
      <alignment vertical="center"/>
    </xf>
    <xf numFmtId="3" fontId="9" fillId="0" borderId="26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 wrapText="1"/>
    </xf>
    <xf numFmtId="0" fontId="12" fillId="0" borderId="0" xfId="1" applyFont="1"/>
    <xf numFmtId="0" fontId="11" fillId="0" borderId="0" xfId="1" applyFont="1" applyBorder="1" applyAlignment="1">
      <alignment horizontal="center" vertical="center" wrapText="1"/>
    </xf>
    <xf numFmtId="0" fontId="9" fillId="9" borderId="24" xfId="1" applyFont="1" applyFill="1" applyBorder="1" applyAlignment="1">
      <alignment horizontal="center" vertical="center" wrapText="1"/>
    </xf>
    <xf numFmtId="0" fontId="11" fillId="9" borderId="24" xfId="1" applyFont="1" applyFill="1" applyBorder="1" applyAlignment="1">
      <alignment horizontal="center" vertical="center" wrapText="1"/>
    </xf>
    <xf numFmtId="0" fontId="11" fillId="9" borderId="27" xfId="1" applyFont="1" applyFill="1" applyBorder="1" applyAlignment="1">
      <alignment horizontal="centerContinuous" vertical="center" wrapText="1"/>
    </xf>
    <xf numFmtId="0" fontId="11" fillId="9" borderId="28" xfId="1" applyFont="1" applyFill="1" applyBorder="1" applyAlignment="1">
      <alignment horizontal="centerContinuous" vertical="center" wrapText="1"/>
    </xf>
    <xf numFmtId="3" fontId="11" fillId="9" borderId="24" xfId="1" applyNumberFormat="1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9" fillId="9" borderId="2" xfId="1" applyFont="1" applyFill="1" applyBorder="1" applyAlignment="1">
      <alignment horizontal="center" vertical="center" wrapText="1"/>
    </xf>
    <xf numFmtId="0" fontId="11" fillId="9" borderId="2" xfId="1" applyFont="1" applyFill="1" applyBorder="1" applyAlignment="1">
      <alignment vertical="center" wrapText="1"/>
    </xf>
    <xf numFmtId="0" fontId="11" fillId="9" borderId="2" xfId="1" quotePrefix="1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left" vertical="center" wrapText="1"/>
    </xf>
    <xf numFmtId="3" fontId="11" fillId="10" borderId="2" xfId="0" applyNumberFormat="1" applyFont="1" applyFill="1" applyBorder="1" applyAlignment="1">
      <alignment horizontal="right" vertical="center"/>
    </xf>
    <xf numFmtId="0" fontId="11" fillId="10" borderId="2" xfId="0" applyFont="1" applyFill="1" applyBorder="1" applyAlignment="1">
      <alignment vertical="center" wrapText="1"/>
    </xf>
    <xf numFmtId="0" fontId="11" fillId="10" borderId="2" xfId="0" applyFont="1" applyFill="1" applyBorder="1" applyAlignment="1">
      <alignment horizontal="center" vertical="center" wrapText="1"/>
    </xf>
    <xf numFmtId="3" fontId="11" fillId="10" borderId="2" xfId="0" applyNumberFormat="1" applyFont="1" applyFill="1" applyBorder="1" applyAlignment="1">
      <alignment vertical="center"/>
    </xf>
    <xf numFmtId="3" fontId="11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horizontal="left" vertical="center"/>
    </xf>
    <xf numFmtId="3" fontId="9" fillId="0" borderId="13" xfId="1" applyNumberFormat="1" applyFont="1" applyFill="1" applyBorder="1" applyAlignment="1">
      <alignment horizontal="right" vertical="center" wrapText="1"/>
    </xf>
    <xf numFmtId="3" fontId="9" fillId="0" borderId="18" xfId="1" applyNumberFormat="1" applyFont="1" applyFill="1" applyBorder="1" applyAlignment="1">
      <alignment horizontal="right" vertical="center" wrapText="1"/>
    </xf>
    <xf numFmtId="3" fontId="9" fillId="0" borderId="19" xfId="1" applyNumberFormat="1" applyFont="1" applyFill="1" applyBorder="1" applyAlignment="1">
      <alignment horizontal="right" vertical="center" wrapText="1"/>
    </xf>
    <xf numFmtId="3" fontId="9" fillId="0" borderId="20" xfId="1" applyNumberFormat="1" applyFont="1" applyFill="1" applyBorder="1" applyAlignment="1">
      <alignment horizontal="right" vertical="center" wrapText="1"/>
    </xf>
    <xf numFmtId="3" fontId="9" fillId="0" borderId="15" xfId="1" applyNumberFormat="1" applyFont="1" applyFill="1" applyBorder="1" applyAlignment="1">
      <alignment horizontal="right" vertical="center" wrapText="1"/>
    </xf>
    <xf numFmtId="3" fontId="11" fillId="0" borderId="2" xfId="1" applyNumberFormat="1" applyFont="1" applyFill="1" applyBorder="1" applyAlignment="1">
      <alignment horizontal="right" vertical="center" wrapText="1"/>
    </xf>
    <xf numFmtId="3" fontId="9" fillId="0" borderId="14" xfId="1" applyNumberFormat="1" applyFont="1" applyFill="1" applyBorder="1" applyAlignment="1">
      <alignment horizontal="right" vertical="center" wrapText="1"/>
    </xf>
    <xf numFmtId="3" fontId="9" fillId="0" borderId="16" xfId="1" applyNumberFormat="1" applyFont="1" applyFill="1" applyBorder="1" applyAlignment="1">
      <alignment horizontal="right" vertical="center" wrapText="1"/>
    </xf>
    <xf numFmtId="3" fontId="9" fillId="0" borderId="21" xfId="1" applyNumberFormat="1" applyFont="1" applyFill="1" applyBorder="1" applyAlignment="1">
      <alignment horizontal="right" vertical="center" wrapText="1"/>
    </xf>
    <xf numFmtId="3" fontId="9" fillId="0" borderId="22" xfId="1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0" fontId="11" fillId="10" borderId="13" xfId="1" applyFont="1" applyFill="1" applyBorder="1" applyAlignment="1">
      <alignment horizontal="center" vertical="center" wrapText="1"/>
    </xf>
    <xf numFmtId="0" fontId="11" fillId="10" borderId="18" xfId="1" applyFont="1" applyFill="1" applyBorder="1" applyAlignment="1">
      <alignment horizontal="center" vertical="center" wrapText="1"/>
    </xf>
    <xf numFmtId="0" fontId="11" fillId="10" borderId="19" xfId="1" applyFont="1" applyFill="1" applyBorder="1" applyAlignment="1">
      <alignment horizontal="center" vertical="center" wrapText="1"/>
    </xf>
    <xf numFmtId="0" fontId="0" fillId="0" borderId="0" xfId="0"/>
    <xf numFmtId="0" fontId="16" fillId="0" borderId="0" xfId="1" applyBorder="1"/>
    <xf numFmtId="0" fontId="16" fillId="8" borderId="0" xfId="1" applyFill="1" applyBorder="1"/>
    <xf numFmtId="0" fontId="42" fillId="2" borderId="0" xfId="1" applyFont="1" applyFill="1" applyBorder="1" applyAlignment="1">
      <alignment vertical="center"/>
    </xf>
    <xf numFmtId="165" fontId="42" fillId="2" borderId="0" xfId="2" applyNumberFormat="1" applyFont="1" applyFill="1" applyBorder="1" applyAlignment="1">
      <alignment vertical="center"/>
    </xf>
    <xf numFmtId="0" fontId="44" fillId="2" borderId="0" xfId="1" applyFont="1" applyFill="1" applyBorder="1" applyAlignment="1">
      <alignment vertical="center"/>
    </xf>
    <xf numFmtId="0" fontId="44" fillId="2" borderId="2" xfId="1" applyFont="1" applyFill="1" applyBorder="1" applyAlignment="1">
      <alignment horizontal="center" vertical="center"/>
    </xf>
    <xf numFmtId="0" fontId="39" fillId="3" borderId="0" xfId="1" applyFont="1" applyFill="1" applyBorder="1" applyAlignment="1">
      <alignment vertical="center"/>
    </xf>
    <xf numFmtId="0" fontId="41" fillId="0" borderId="0" xfId="1" applyFont="1" applyFill="1" applyBorder="1" applyAlignment="1">
      <alignment horizontal="centerContinuous" vertical="center"/>
    </xf>
    <xf numFmtId="0" fontId="42" fillId="0" borderId="0" xfId="1" applyFont="1" applyFill="1" applyBorder="1" applyAlignment="1">
      <alignment vertical="center"/>
    </xf>
    <xf numFmtId="0" fontId="16" fillId="2" borderId="0" xfId="1" applyFont="1" applyFill="1"/>
    <xf numFmtId="165" fontId="16" fillId="2" borderId="0" xfId="2" applyNumberFormat="1" applyFont="1" applyFill="1"/>
    <xf numFmtId="0" fontId="46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165" fontId="16" fillId="2" borderId="0" xfId="2" applyNumberFormat="1" applyFont="1" applyFill="1" applyAlignment="1">
      <alignment vertical="center"/>
    </xf>
    <xf numFmtId="165" fontId="42" fillId="0" borderId="0" xfId="2" applyNumberFormat="1" applyFont="1" applyFill="1" applyBorder="1" applyAlignment="1">
      <alignment vertical="center"/>
    </xf>
    <xf numFmtId="0" fontId="37" fillId="0" borderId="2" xfId="1" applyFont="1" applyBorder="1" applyAlignment="1">
      <alignment vertical="center"/>
    </xf>
    <xf numFmtId="0" fontId="41" fillId="0" borderId="0" xfId="1" applyFont="1" applyFill="1" applyBorder="1" applyAlignment="1">
      <alignment horizontal="left" vertical="center"/>
    </xf>
    <xf numFmtId="0" fontId="45" fillId="2" borderId="0" xfId="1" applyFont="1" applyFill="1" applyBorder="1" applyAlignment="1">
      <alignment vertical="center"/>
    </xf>
    <xf numFmtId="165" fontId="45" fillId="2" borderId="0" xfId="2" applyNumberFormat="1" applyFont="1" applyFill="1" applyBorder="1" applyAlignment="1">
      <alignment vertical="center"/>
    </xf>
    <xf numFmtId="0" fontId="45" fillId="0" borderId="2" xfId="1" applyFont="1" applyBorder="1" applyAlignment="1">
      <alignment horizontal="center" vertical="center" wrapText="1"/>
    </xf>
    <xf numFmtId="165" fontId="45" fillId="0" borderId="2" xfId="2" applyNumberFormat="1" applyFont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right" vertical="center" wrapText="1"/>
    </xf>
    <xf numFmtId="0" fontId="44" fillId="0" borderId="2" xfId="1" applyFont="1" applyFill="1" applyBorder="1" applyAlignment="1">
      <alignment vertical="center"/>
    </xf>
    <xf numFmtId="165" fontId="44" fillId="0" borderId="2" xfId="2" applyNumberFormat="1" applyFont="1" applyFill="1" applyBorder="1" applyAlignment="1">
      <alignment horizontal="center" vertical="center"/>
    </xf>
    <xf numFmtId="165" fontId="44" fillId="0" borderId="2" xfId="2" applyNumberFormat="1" applyFont="1" applyFill="1" applyBorder="1" applyAlignment="1">
      <alignment vertical="center"/>
    </xf>
    <xf numFmtId="0" fontId="44" fillId="6" borderId="2" xfId="1" applyFont="1" applyFill="1" applyBorder="1" applyAlignment="1">
      <alignment horizontal="right" vertical="center" wrapText="1"/>
    </xf>
    <xf numFmtId="165" fontId="44" fillId="6" borderId="2" xfId="2" applyNumberFormat="1" applyFont="1" applyFill="1" applyBorder="1" applyAlignment="1">
      <alignment vertical="center"/>
    </xf>
    <xf numFmtId="165" fontId="44" fillId="0" borderId="13" xfId="2" applyNumberFormat="1" applyFont="1" applyFill="1" applyBorder="1" applyAlignment="1">
      <alignment vertical="center"/>
    </xf>
    <xf numFmtId="0" fontId="37" fillId="0" borderId="13" xfId="1" applyFont="1" applyBorder="1" applyAlignment="1">
      <alignment vertical="center"/>
    </xf>
    <xf numFmtId="0" fontId="45" fillId="0" borderId="4" xfId="1" applyFont="1" applyBorder="1" applyAlignment="1">
      <alignment horizontal="right" vertical="center"/>
    </xf>
    <xf numFmtId="0" fontId="45" fillId="0" borderId="2" xfId="1" applyFont="1" applyFill="1" applyBorder="1" applyAlignment="1">
      <alignment horizontal="right" vertical="center" wrapText="1"/>
    </xf>
    <xf numFmtId="165" fontId="45" fillId="0" borderId="2" xfId="2" applyNumberFormat="1" applyFont="1" applyFill="1" applyBorder="1" applyAlignment="1">
      <alignment vertical="center"/>
    </xf>
    <xf numFmtId="0" fontId="47" fillId="0" borderId="2" xfId="1" applyFont="1" applyFill="1" applyBorder="1" applyAlignment="1">
      <alignment horizontal="right" vertical="center" wrapText="1"/>
    </xf>
    <xf numFmtId="165" fontId="44" fillId="0" borderId="4" xfId="2" applyNumberFormat="1" applyFont="1" applyFill="1" applyBorder="1" applyAlignment="1">
      <alignment vertical="center"/>
    </xf>
    <xf numFmtId="0" fontId="37" fillId="0" borderId="15" xfId="1" applyFont="1" applyBorder="1" applyAlignment="1">
      <alignment vertical="center"/>
    </xf>
    <xf numFmtId="165" fontId="45" fillId="0" borderId="4" xfId="2" applyNumberFormat="1" applyFont="1" applyFill="1" applyBorder="1" applyAlignment="1">
      <alignment vertical="center"/>
    </xf>
    <xf numFmtId="165" fontId="45" fillId="0" borderId="4" xfId="2" applyNumberFormat="1" applyFont="1" applyBorder="1" applyAlignment="1">
      <alignment vertical="center"/>
    </xf>
    <xf numFmtId="0" fontId="48" fillId="0" borderId="0" xfId="1" applyFont="1"/>
    <xf numFmtId="0" fontId="48" fillId="8" borderId="0" xfId="1" applyFont="1" applyFill="1" applyBorder="1" applyAlignment="1">
      <alignment horizontal="left" vertical="center"/>
    </xf>
    <xf numFmtId="0" fontId="48" fillId="8" borderId="0" xfId="1" applyFont="1" applyFill="1" applyBorder="1" applyAlignment="1">
      <alignment horizontal="right" vertical="center" wrapText="1"/>
    </xf>
    <xf numFmtId="165" fontId="44" fillId="8" borderId="0" xfId="2" applyNumberFormat="1" applyFont="1" applyFill="1" applyBorder="1" applyAlignment="1">
      <alignment vertical="center"/>
    </xf>
    <xf numFmtId="0" fontId="47" fillId="8" borderId="0" xfId="1" applyFont="1" applyFill="1" applyBorder="1" applyAlignment="1">
      <alignment horizontal="right" vertical="center" wrapText="1"/>
    </xf>
    <xf numFmtId="165" fontId="45" fillId="8" borderId="0" xfId="2" applyNumberFormat="1" applyFont="1" applyFill="1" applyBorder="1" applyAlignment="1">
      <alignment vertical="center"/>
    </xf>
    <xf numFmtId="0" fontId="40" fillId="8" borderId="0" xfId="1" applyFont="1" applyFill="1" applyBorder="1"/>
    <xf numFmtId="0" fontId="44" fillId="9" borderId="2" xfId="1" applyFont="1" applyFill="1" applyBorder="1" applyAlignment="1">
      <alignment horizontal="right" vertical="center" wrapText="1"/>
    </xf>
    <xf numFmtId="0" fontId="44" fillId="9" borderId="2" xfId="1" applyFont="1" applyFill="1" applyBorder="1" applyAlignment="1">
      <alignment vertical="center"/>
    </xf>
    <xf numFmtId="165" fontId="44" fillId="9" borderId="2" xfId="2" applyNumberFormat="1" applyFont="1" applyFill="1" applyBorder="1" applyAlignment="1">
      <alignment horizontal="center" vertical="center"/>
    </xf>
    <xf numFmtId="1" fontId="44" fillId="9" borderId="2" xfId="2" applyNumberFormat="1" applyFont="1" applyFill="1" applyBorder="1" applyAlignment="1">
      <alignment vertical="center"/>
    </xf>
    <xf numFmtId="1" fontId="44" fillId="9" borderId="2" xfId="2" applyNumberFormat="1" applyFont="1" applyFill="1" applyBorder="1" applyAlignment="1">
      <alignment horizontal="center" vertical="center"/>
    </xf>
    <xf numFmtId="0" fontId="45" fillId="0" borderId="2" xfId="0" applyFont="1" applyBorder="1" applyAlignment="1">
      <alignment horizontal="right" vertical="center"/>
    </xf>
    <xf numFmtId="165" fontId="44" fillId="0" borderId="2" xfId="2" applyNumberFormat="1" applyFont="1" applyBorder="1" applyAlignment="1">
      <alignment vertical="center"/>
    </xf>
    <xf numFmtId="165" fontId="0" fillId="0" borderId="0" xfId="0" applyNumberFormat="1"/>
    <xf numFmtId="0" fontId="0" fillId="0" borderId="0" xfId="0"/>
    <xf numFmtId="0" fontId="16" fillId="0" borderId="0" xfId="1" applyAlignment="1">
      <alignment vertical="center"/>
    </xf>
    <xf numFmtId="0" fontId="51" fillId="0" borderId="0" xfId="1" applyFont="1" applyFill="1" applyBorder="1" applyAlignment="1">
      <alignment vertical="center"/>
    </xf>
    <xf numFmtId="0" fontId="49" fillId="0" borderId="0" xfId="1" applyFont="1" applyFill="1" applyAlignment="1">
      <alignment horizontal="centerContinuous"/>
    </xf>
    <xf numFmtId="0" fontId="51" fillId="0" borderId="0" xfId="1" applyFont="1" applyFill="1" applyBorder="1" applyAlignment="1">
      <alignment horizontal="left" vertical="center"/>
    </xf>
    <xf numFmtId="0" fontId="52" fillId="2" borderId="0" xfId="1" applyFont="1" applyFill="1" applyBorder="1"/>
    <xf numFmtId="0" fontId="53" fillId="0" borderId="0" xfId="1" applyFont="1" applyFill="1" applyBorder="1" applyAlignment="1">
      <alignment horizontal="centerContinuous"/>
    </xf>
    <xf numFmtId="165" fontId="16" fillId="0" borderId="3" xfId="2" applyNumberFormat="1" applyFont="1" applyBorder="1"/>
    <xf numFmtId="165" fontId="16" fillId="0" borderId="62" xfId="2" applyNumberFormat="1" applyFont="1" applyBorder="1"/>
    <xf numFmtId="165" fontId="16" fillId="0" borderId="63" xfId="2" applyNumberFormat="1" applyFont="1" applyFill="1" applyBorder="1"/>
    <xf numFmtId="165" fontId="16" fillId="0" borderId="22" xfId="2" applyNumberFormat="1" applyFont="1" applyFill="1" applyBorder="1"/>
    <xf numFmtId="165" fontId="16" fillId="0" borderId="63" xfId="2" applyNumberFormat="1" applyFont="1" applyBorder="1"/>
    <xf numFmtId="165" fontId="16" fillId="0" borderId="22" xfId="2" applyNumberFormat="1" applyFont="1" applyBorder="1"/>
    <xf numFmtId="165" fontId="16" fillId="0" borderId="64" xfId="2" applyNumberFormat="1" applyFont="1" applyFill="1" applyBorder="1"/>
    <xf numFmtId="165" fontId="16" fillId="0" borderId="5" xfId="2" applyNumberFormat="1" applyFont="1" applyBorder="1"/>
    <xf numFmtId="165" fontId="16" fillId="0" borderId="71" xfId="2" applyNumberFormat="1" applyFont="1" applyBorder="1"/>
    <xf numFmtId="165" fontId="16" fillId="0" borderId="72" xfId="2" applyNumberFormat="1" applyFont="1" applyFill="1" applyBorder="1"/>
    <xf numFmtId="164" fontId="16" fillId="0" borderId="72" xfId="2" applyFont="1" applyFill="1" applyBorder="1"/>
    <xf numFmtId="165" fontId="16" fillId="0" borderId="72" xfId="2" applyNumberFormat="1" applyFont="1" applyBorder="1"/>
    <xf numFmtId="165" fontId="16" fillId="0" borderId="73" xfId="2" applyNumberFormat="1" applyFont="1" applyBorder="1"/>
    <xf numFmtId="165" fontId="16" fillId="0" borderId="74" xfId="2" applyNumberFormat="1" applyFont="1" applyBorder="1"/>
    <xf numFmtId="165" fontId="16" fillId="0" borderId="73" xfId="2" applyNumberFormat="1" applyFont="1" applyFill="1" applyBorder="1"/>
    <xf numFmtId="165" fontId="16" fillId="0" borderId="2" xfId="2" applyNumberFormat="1" applyFont="1" applyBorder="1"/>
    <xf numFmtId="165" fontId="16" fillId="0" borderId="75" xfId="2" applyNumberFormat="1" applyFont="1" applyBorder="1"/>
    <xf numFmtId="165" fontId="16" fillId="0" borderId="20" xfId="2" applyNumberFormat="1" applyFont="1" applyFill="1" applyBorder="1"/>
    <xf numFmtId="165" fontId="16" fillId="0" borderId="19" xfId="2" applyNumberFormat="1" applyFont="1" applyFill="1" applyBorder="1"/>
    <xf numFmtId="165" fontId="16" fillId="0" borderId="20" xfId="2" applyNumberFormat="1" applyFont="1" applyBorder="1"/>
    <xf numFmtId="165" fontId="16" fillId="0" borderId="19" xfId="2" applyNumberFormat="1" applyFont="1" applyBorder="1"/>
    <xf numFmtId="165" fontId="16" fillId="0" borderId="76" xfId="2" applyNumberFormat="1" applyFont="1" applyBorder="1"/>
    <xf numFmtId="165" fontId="16" fillId="0" borderId="76" xfId="2" applyNumberFormat="1" applyFont="1" applyFill="1" applyBorder="1"/>
    <xf numFmtId="164" fontId="16" fillId="0" borderId="20" xfId="2" applyFont="1" applyFill="1" applyBorder="1"/>
    <xf numFmtId="165" fontId="16" fillId="0" borderId="4" xfId="2" applyNumberFormat="1" applyFont="1" applyBorder="1"/>
    <xf numFmtId="165" fontId="16" fillId="0" borderId="83" xfId="2" applyNumberFormat="1" applyFont="1" applyBorder="1"/>
    <xf numFmtId="165" fontId="16" fillId="0" borderId="84" xfId="2" applyNumberFormat="1" applyFont="1" applyFill="1" applyBorder="1"/>
    <xf numFmtId="165" fontId="16" fillId="0" borderId="85" xfId="2" applyNumberFormat="1" applyFont="1" applyFill="1" applyBorder="1"/>
    <xf numFmtId="165" fontId="16" fillId="0" borderId="84" xfId="2" applyNumberFormat="1" applyFont="1" applyBorder="1"/>
    <xf numFmtId="165" fontId="16" fillId="0" borderId="85" xfId="2" applyNumberFormat="1" applyFont="1" applyBorder="1"/>
    <xf numFmtId="165" fontId="16" fillId="0" borderId="86" xfId="2" applyNumberFormat="1" applyFont="1" applyBorder="1"/>
    <xf numFmtId="165" fontId="16" fillId="0" borderId="16" xfId="2" applyNumberFormat="1" applyFont="1" applyFill="1" applyBorder="1"/>
    <xf numFmtId="165" fontId="16" fillId="0" borderId="87" xfId="2" applyNumberFormat="1" applyFont="1" applyBorder="1"/>
    <xf numFmtId="165" fontId="16" fillId="0" borderId="64" xfId="2" applyNumberFormat="1" applyFont="1" applyBorder="1"/>
    <xf numFmtId="165" fontId="16" fillId="0" borderId="47" xfId="2" applyNumberFormat="1" applyFont="1" applyFill="1" applyBorder="1"/>
    <xf numFmtId="165" fontId="16" fillId="0" borderId="88" xfId="2" applyNumberFormat="1" applyFont="1" applyBorder="1"/>
    <xf numFmtId="165" fontId="16" fillId="0" borderId="13" xfId="2" applyNumberFormat="1" applyFont="1" applyFill="1" applyBorder="1"/>
    <xf numFmtId="165" fontId="16" fillId="0" borderId="89" xfId="2" applyNumberFormat="1" applyFont="1" applyBorder="1"/>
    <xf numFmtId="165" fontId="37" fillId="9" borderId="78" xfId="2" applyNumberFormat="1" applyFont="1" applyFill="1" applyBorder="1"/>
    <xf numFmtId="165" fontId="37" fillId="9" borderId="79" xfId="2" applyNumberFormat="1" applyFont="1" applyFill="1" applyBorder="1"/>
    <xf numFmtId="165" fontId="37" fillId="9" borderId="80" xfId="2" applyNumberFormat="1" applyFont="1" applyFill="1" applyBorder="1"/>
    <xf numFmtId="165" fontId="37" fillId="9" borderId="81" xfId="2" applyNumberFormat="1" applyFont="1" applyFill="1" applyBorder="1"/>
    <xf numFmtId="165" fontId="37" fillId="9" borderId="82" xfId="2" applyNumberFormat="1" applyFont="1" applyFill="1" applyBorder="1"/>
    <xf numFmtId="0" fontId="0" fillId="2" borderId="0" xfId="0" applyFill="1"/>
    <xf numFmtId="0" fontId="55" fillId="2" borderId="0" xfId="0" applyFont="1" applyFill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0" fillId="0" borderId="0" xfId="0" applyFont="1"/>
    <xf numFmtId="165" fontId="0" fillId="0" borderId="0" xfId="0" applyNumberFormat="1"/>
    <xf numFmtId="0" fontId="50" fillId="0" borderId="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54" fillId="0" borderId="65" xfId="0" quotePrefix="1" applyFont="1" applyBorder="1" applyAlignment="1">
      <alignment horizontal="center" vertical="center"/>
    </xf>
    <xf numFmtId="0" fontId="54" fillId="0" borderId="66" xfId="0" quotePrefix="1" applyFont="1" applyBorder="1" applyAlignment="1">
      <alignment horizontal="center" vertical="center"/>
    </xf>
    <xf numFmtId="0" fontId="54" fillId="0" borderId="67" xfId="0" quotePrefix="1" applyFont="1" applyBorder="1" applyAlignment="1">
      <alignment horizontal="center" vertical="center"/>
    </xf>
    <xf numFmtId="0" fontId="54" fillId="0" borderId="68" xfId="0" quotePrefix="1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69" xfId="0" quotePrefix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Border="1"/>
    <xf numFmtId="0" fontId="16" fillId="0" borderId="48" xfId="0" applyFont="1" applyBorder="1" applyAlignment="1">
      <alignment horizontal="left" indent="1"/>
    </xf>
    <xf numFmtId="0" fontId="16" fillId="0" borderId="0" xfId="0" applyFont="1"/>
    <xf numFmtId="0" fontId="16" fillId="0" borderId="70" xfId="0" applyFont="1" applyBorder="1" applyAlignment="1">
      <alignment horizontal="left" indent="1"/>
    </xf>
    <xf numFmtId="0" fontId="37" fillId="8" borderId="37" xfId="0" applyFont="1" applyFill="1" applyBorder="1" applyAlignment="1">
      <alignment vertical="center" wrapText="1"/>
    </xf>
    <xf numFmtId="0" fontId="37" fillId="11" borderId="77" xfId="0" applyFont="1" applyFill="1" applyBorder="1" applyAlignment="1">
      <alignment horizontal="left" vertical="center" indent="1"/>
    </xf>
    <xf numFmtId="165" fontId="37" fillId="11" borderId="78" xfId="2" applyNumberFormat="1" applyFont="1" applyFill="1" applyBorder="1"/>
    <xf numFmtId="165" fontId="37" fillId="11" borderId="79" xfId="2" applyNumberFormat="1" applyFont="1" applyFill="1" applyBorder="1"/>
    <xf numFmtId="165" fontId="37" fillId="11" borderId="80" xfId="2" applyNumberFormat="1" applyFont="1" applyFill="1" applyBorder="1"/>
    <xf numFmtId="165" fontId="37" fillId="11" borderId="82" xfId="2" applyNumberFormat="1" applyFont="1" applyFill="1" applyBorder="1"/>
    <xf numFmtId="0" fontId="16" fillId="8" borderId="0" xfId="0" applyFont="1" applyFill="1" applyBorder="1"/>
    <xf numFmtId="0" fontId="16" fillId="0" borderId="34" xfId="0" applyFont="1" applyBorder="1" applyAlignment="1">
      <alignment horizontal="left" vertical="top" wrapText="1" indent="1"/>
    </xf>
    <xf numFmtId="0" fontId="16" fillId="8" borderId="0" xfId="0" applyFont="1" applyFill="1"/>
    <xf numFmtId="165" fontId="16" fillId="0" borderId="0" xfId="0" applyNumberFormat="1" applyFont="1"/>
    <xf numFmtId="0" fontId="44" fillId="0" borderId="0" xfId="0" applyFont="1" applyBorder="1" applyAlignment="1">
      <alignment horizontal="left" vertical="center" inden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54" fillId="0" borderId="92" xfId="0" quotePrefix="1" applyFont="1" applyBorder="1" applyAlignment="1">
      <alignment horizontal="center" vertical="center"/>
    </xf>
    <xf numFmtId="0" fontId="54" fillId="0" borderId="93" xfId="0" quotePrefix="1" applyFont="1" applyBorder="1" applyAlignment="1">
      <alignment horizontal="center" vertical="center"/>
    </xf>
    <xf numFmtId="0" fontId="54" fillId="0" borderId="69" xfId="0" quotePrefix="1" applyFont="1" applyBorder="1" applyAlignment="1">
      <alignment horizontal="center" vertical="center"/>
    </xf>
    <xf numFmtId="0" fontId="16" fillId="0" borderId="46" xfId="0" applyFont="1" applyBorder="1" applyAlignment="1">
      <alignment horizontal="left" indent="1"/>
    </xf>
    <xf numFmtId="165" fontId="37" fillId="11" borderId="8" xfId="2" applyNumberFormat="1" applyFont="1" applyFill="1" applyBorder="1"/>
    <xf numFmtId="165" fontId="37" fillId="11" borderId="90" xfId="2" applyNumberFormat="1" applyFont="1" applyFill="1" applyBorder="1"/>
    <xf numFmtId="0" fontId="0" fillId="10" borderId="62" xfId="0" applyFill="1" applyBorder="1" applyAlignment="1">
      <alignment horizontal="center" vertical="center" wrapText="1"/>
    </xf>
    <xf numFmtId="0" fontId="0" fillId="10" borderId="63" xfId="0" applyFill="1" applyBorder="1" applyAlignment="1">
      <alignment horizontal="center" vertical="center" wrapText="1"/>
    </xf>
    <xf numFmtId="0" fontId="16" fillId="10" borderId="63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37" fillId="9" borderId="77" xfId="0" applyFont="1" applyFill="1" applyBorder="1" applyAlignment="1">
      <alignment horizontal="left" vertical="center" indent="1"/>
    </xf>
    <xf numFmtId="0" fontId="16" fillId="10" borderId="62" xfId="0" applyFont="1" applyFill="1" applyBorder="1" applyAlignment="1">
      <alignment horizontal="center" vertical="center" wrapText="1"/>
    </xf>
    <xf numFmtId="0" fontId="16" fillId="10" borderId="87" xfId="0" applyFont="1" applyFill="1" applyBorder="1" applyAlignment="1">
      <alignment horizontal="center" vertical="center" wrapText="1"/>
    </xf>
    <xf numFmtId="0" fontId="16" fillId="10" borderId="64" xfId="0" applyFont="1" applyFill="1" applyBorder="1" applyAlignment="1">
      <alignment horizontal="center" vertical="center" wrapText="1"/>
    </xf>
    <xf numFmtId="0" fontId="37" fillId="0" borderId="48" xfId="0" applyFont="1" applyBorder="1" applyAlignment="1">
      <alignment horizontal="left" indent="1"/>
    </xf>
    <xf numFmtId="0" fontId="37" fillId="0" borderId="70" xfId="0" applyFont="1" applyBorder="1" applyAlignment="1">
      <alignment horizontal="left" indent="1"/>
    </xf>
    <xf numFmtId="3" fontId="9" fillId="8" borderId="14" xfId="1" applyNumberFormat="1" applyFont="1" applyFill="1" applyBorder="1" applyAlignment="1">
      <alignment horizontal="right" vertical="center" wrapText="1"/>
    </xf>
    <xf numFmtId="3" fontId="9" fillId="8" borderId="20" xfId="1" applyNumberFormat="1" applyFont="1" applyFill="1" applyBorder="1" applyAlignment="1">
      <alignment horizontal="right" vertical="center" wrapText="1"/>
    </xf>
    <xf numFmtId="3" fontId="9" fillId="0" borderId="0" xfId="3" applyNumberFormat="1" applyFont="1" applyFill="1"/>
    <xf numFmtId="1" fontId="44" fillId="9" borderId="2" xfId="1" applyNumberFormat="1" applyFont="1" applyFill="1" applyBorder="1" applyAlignment="1">
      <alignment vertical="center"/>
    </xf>
    <xf numFmtId="4" fontId="0" fillId="0" borderId="0" xfId="0" applyNumberFormat="1"/>
    <xf numFmtId="0" fontId="19" fillId="0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0" fillId="0" borderId="0" xfId="0" applyFill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30" fillId="0" borderId="0" xfId="0" applyFont="1" applyFill="1" applyBorder="1" applyAlignment="1">
      <alignment horizontal="left"/>
    </xf>
    <xf numFmtId="0" fontId="31" fillId="0" borderId="29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right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right" vertical="center" wrapText="1"/>
    </xf>
    <xf numFmtId="49" fontId="32" fillId="0" borderId="2" xfId="0" applyNumberFormat="1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vertical="center" wrapText="1"/>
    </xf>
    <xf numFmtId="0" fontId="32" fillId="0" borderId="35" xfId="0" applyFont="1" applyFill="1" applyBorder="1" applyAlignment="1">
      <alignment vertical="center" wrapText="1"/>
    </xf>
    <xf numFmtId="0" fontId="32" fillId="0" borderId="36" xfId="0" applyFont="1" applyFill="1" applyBorder="1" applyAlignment="1">
      <alignment vertical="center" wrapText="1"/>
    </xf>
    <xf numFmtId="0" fontId="31" fillId="0" borderId="37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0" fontId="32" fillId="0" borderId="26" xfId="0" applyFont="1" applyFill="1" applyBorder="1" applyAlignment="1">
      <alignment vertical="center" wrapText="1"/>
    </xf>
    <xf numFmtId="0" fontId="34" fillId="0" borderId="34" xfId="0" applyFont="1" applyFill="1" applyBorder="1" applyAlignment="1">
      <alignment horizontal="left" vertical="center" wrapText="1"/>
    </xf>
    <xf numFmtId="3" fontId="31" fillId="0" borderId="2" xfId="0" applyNumberFormat="1" applyFont="1" applyFill="1" applyBorder="1" applyAlignment="1">
      <alignment vertical="center" wrapText="1"/>
    </xf>
    <xf numFmtId="3" fontId="31" fillId="0" borderId="13" xfId="0" applyNumberFormat="1" applyFont="1" applyFill="1" applyBorder="1" applyAlignment="1">
      <alignment vertical="center" wrapText="1"/>
    </xf>
    <xf numFmtId="3" fontId="31" fillId="0" borderId="26" xfId="0" applyNumberFormat="1" applyFont="1" applyFill="1" applyBorder="1" applyAlignment="1">
      <alignment vertical="center" wrapText="1"/>
    </xf>
    <xf numFmtId="0" fontId="32" fillId="0" borderId="38" xfId="0" applyFont="1" applyFill="1" applyBorder="1" applyAlignment="1">
      <alignment vertical="center"/>
    </xf>
    <xf numFmtId="3" fontId="32" fillId="0" borderId="39" xfId="0" applyNumberFormat="1" applyFont="1" applyFill="1" applyBorder="1" applyAlignment="1">
      <alignment vertical="center" wrapText="1"/>
    </xf>
    <xf numFmtId="3" fontId="32" fillId="0" borderId="3" xfId="0" applyNumberFormat="1" applyFont="1" applyFill="1" applyBorder="1" applyAlignment="1">
      <alignment vertical="center" wrapText="1"/>
    </xf>
    <xf numFmtId="3" fontId="32" fillId="0" borderId="16" xfId="0" applyNumberFormat="1" applyFont="1" applyFill="1" applyBorder="1" applyAlignment="1">
      <alignment vertical="center" wrapText="1"/>
    </xf>
    <xf numFmtId="3" fontId="32" fillId="0" borderId="42" xfId="0" applyNumberFormat="1" applyFont="1" applyFill="1" applyBorder="1" applyAlignment="1">
      <alignment vertical="center" wrapText="1"/>
    </xf>
    <xf numFmtId="3" fontId="32" fillId="0" borderId="6" xfId="0" applyNumberFormat="1" applyFont="1" applyFill="1" applyBorder="1" applyAlignment="1">
      <alignment vertical="center" wrapText="1"/>
    </xf>
    <xf numFmtId="3" fontId="32" fillId="0" borderId="41" xfId="0" applyNumberFormat="1" applyFont="1" applyFill="1" applyBorder="1" applyAlignment="1">
      <alignment vertical="center" wrapText="1"/>
    </xf>
    <xf numFmtId="3" fontId="0" fillId="0" borderId="0" xfId="0" applyNumberFormat="1" applyFill="1"/>
    <xf numFmtId="3" fontId="32" fillId="0" borderId="43" xfId="0" applyNumberFormat="1" applyFont="1" applyFill="1" applyBorder="1" applyAlignment="1">
      <alignment vertical="center" wrapText="1"/>
    </xf>
    <xf numFmtId="3" fontId="32" fillId="0" borderId="44" xfId="0" applyNumberFormat="1" applyFont="1" applyFill="1" applyBorder="1" applyAlignment="1">
      <alignment vertical="center" wrapText="1"/>
    </xf>
    <xf numFmtId="3" fontId="32" fillId="0" borderId="45" xfId="0" applyNumberFormat="1" applyFont="1" applyFill="1" applyBorder="1" applyAlignment="1">
      <alignment vertical="center" wrapText="1"/>
    </xf>
    <xf numFmtId="3" fontId="31" fillId="0" borderId="43" xfId="0" applyNumberFormat="1" applyFont="1" applyFill="1" applyBorder="1" applyAlignment="1">
      <alignment vertical="center" wrapText="1"/>
    </xf>
    <xf numFmtId="3" fontId="31" fillId="0" borderId="44" xfId="0" applyNumberFormat="1" applyFont="1" applyFill="1" applyBorder="1" applyAlignment="1">
      <alignment vertical="center" wrapText="1"/>
    </xf>
    <xf numFmtId="0" fontId="32" fillId="0" borderId="46" xfId="0" applyFont="1" applyFill="1" applyBorder="1" applyAlignment="1">
      <alignment vertical="center" wrapText="1"/>
    </xf>
    <xf numFmtId="3" fontId="32" fillId="0" borderId="5" xfId="0" applyNumberFormat="1" applyFont="1" applyFill="1" applyBorder="1" applyAlignment="1">
      <alignment vertical="center" wrapText="1"/>
    </xf>
    <xf numFmtId="3" fontId="32" fillId="0" borderId="47" xfId="0" applyNumberFormat="1" applyFont="1" applyFill="1" applyBorder="1" applyAlignment="1">
      <alignment vertical="center" wrapText="1"/>
    </xf>
    <xf numFmtId="0" fontId="31" fillId="0" borderId="34" xfId="0" applyFont="1" applyFill="1" applyBorder="1" applyAlignment="1">
      <alignment horizontal="right" vertical="center" wrapText="1"/>
    </xf>
    <xf numFmtId="0" fontId="31" fillId="0" borderId="34" xfId="0" applyFont="1" applyFill="1" applyBorder="1" applyAlignment="1">
      <alignment horizontal="left" vertical="center" wrapText="1"/>
    </xf>
    <xf numFmtId="3" fontId="32" fillId="0" borderId="13" xfId="0" applyNumberFormat="1" applyFont="1" applyFill="1" applyBorder="1" applyAlignment="1">
      <alignment vertical="center" wrapText="1"/>
    </xf>
    <xf numFmtId="3" fontId="32" fillId="0" borderId="14" xfId="0" applyNumberFormat="1" applyFont="1" applyFill="1" applyBorder="1" applyAlignment="1">
      <alignment vertical="center" wrapText="1"/>
    </xf>
    <xf numFmtId="3" fontId="32" fillId="0" borderId="26" xfId="0" applyNumberFormat="1" applyFont="1" applyFill="1" applyBorder="1" applyAlignment="1">
      <alignment vertical="center" wrapText="1"/>
    </xf>
    <xf numFmtId="0" fontId="34" fillId="0" borderId="37" xfId="0" applyFont="1" applyFill="1" applyBorder="1" applyAlignment="1">
      <alignment vertical="center" wrapText="1"/>
    </xf>
    <xf numFmtId="3" fontId="31" fillId="0" borderId="15" xfId="0" applyNumberFormat="1" applyFont="1" applyFill="1" applyBorder="1" applyAlignment="1">
      <alignment vertical="center" wrapText="1"/>
    </xf>
    <xf numFmtId="3" fontId="31" fillId="0" borderId="0" xfId="0" applyNumberFormat="1" applyFont="1" applyFill="1" applyBorder="1" applyAlignment="1">
      <alignment vertical="center" wrapText="1"/>
    </xf>
    <xf numFmtId="3" fontId="31" fillId="0" borderId="26" xfId="0" applyNumberFormat="1" applyFont="1" applyFill="1" applyBorder="1" applyAlignment="1">
      <alignment horizontal="right" vertical="center" wrapText="1"/>
    </xf>
    <xf numFmtId="0" fontId="31" fillId="0" borderId="48" xfId="0" applyFont="1" applyFill="1" applyBorder="1" applyAlignment="1">
      <alignment horizontal="right" vertical="center" wrapText="1"/>
    </xf>
    <xf numFmtId="3" fontId="31" fillId="0" borderId="3" xfId="0" applyNumberFormat="1" applyFont="1" applyFill="1" applyBorder="1" applyAlignment="1">
      <alignment vertical="center" wrapText="1"/>
    </xf>
    <xf numFmtId="3" fontId="31" fillId="0" borderId="16" xfId="0" applyNumberFormat="1" applyFont="1" applyFill="1" applyBorder="1" applyAlignment="1">
      <alignment vertical="center" wrapText="1"/>
    </xf>
    <xf numFmtId="3" fontId="31" fillId="0" borderId="40" xfId="0" applyNumberFormat="1" applyFont="1" applyFill="1" applyBorder="1" applyAlignment="1">
      <alignment horizontal="right" vertical="center" wrapText="1"/>
    </xf>
    <xf numFmtId="0" fontId="31" fillId="0" borderId="29" xfId="0" applyFont="1" applyFill="1" applyBorder="1" applyAlignment="1">
      <alignment horizontal="right" vertical="center" wrapText="1"/>
    </xf>
    <xf numFmtId="3" fontId="31" fillId="0" borderId="30" xfId="0" applyNumberFormat="1" applyFont="1" applyFill="1" applyBorder="1" applyAlignment="1">
      <alignment vertical="center" wrapText="1"/>
    </xf>
    <xf numFmtId="3" fontId="31" fillId="0" borderId="49" xfId="0" applyNumberFormat="1" applyFont="1" applyFill="1" applyBorder="1" applyAlignment="1">
      <alignment vertical="center" wrapText="1"/>
    </xf>
    <xf numFmtId="3" fontId="31" fillId="0" borderId="24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2" fillId="0" borderId="50" xfId="0" applyFont="1" applyFill="1" applyBorder="1" applyAlignment="1">
      <alignment vertical="center" wrapText="1"/>
    </xf>
    <xf numFmtId="0" fontId="32" fillId="0" borderId="5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11" fillId="9" borderId="2" xfId="3" applyFont="1" applyFill="1" applyBorder="1" applyAlignment="1">
      <alignment horizontal="center" vertical="center"/>
    </xf>
    <xf numFmtId="0" fontId="9" fillId="9" borderId="2" xfId="3" applyFont="1" applyFill="1" applyBorder="1" applyAlignment="1">
      <alignment horizontal="center" vertical="center"/>
    </xf>
    <xf numFmtId="0" fontId="9" fillId="9" borderId="3" xfId="3" applyFont="1" applyFill="1" applyBorder="1" applyAlignment="1">
      <alignment horizontal="center" vertical="center"/>
    </xf>
    <xf numFmtId="0" fontId="11" fillId="9" borderId="13" xfId="3" applyFont="1" applyFill="1" applyBorder="1" applyAlignment="1">
      <alignment horizontal="center" vertical="center" wrapText="1"/>
    </xf>
    <xf numFmtId="0" fontId="11" fillId="9" borderId="14" xfId="3" applyFont="1" applyFill="1" applyBorder="1" applyAlignment="1">
      <alignment horizontal="center" vertical="center" wrapText="1"/>
    </xf>
    <xf numFmtId="0" fontId="11" fillId="9" borderId="15" xfId="3" applyFont="1" applyFill="1" applyBorder="1" applyAlignment="1">
      <alignment horizontal="center" vertical="center" wrapText="1"/>
    </xf>
    <xf numFmtId="0" fontId="11" fillId="10" borderId="13" xfId="3" applyFont="1" applyFill="1" applyBorder="1" applyAlignment="1">
      <alignment horizontal="center" vertical="center" wrapText="1"/>
    </xf>
    <xf numFmtId="0" fontId="11" fillId="10" borderId="15" xfId="3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center" vertical="center" wrapText="1"/>
    </xf>
    <xf numFmtId="0" fontId="6" fillId="5" borderId="16" xfId="3" applyFont="1" applyFill="1" applyBorder="1" applyAlignment="1">
      <alignment horizontal="center" vertical="center"/>
    </xf>
    <xf numFmtId="0" fontId="6" fillId="5" borderId="17" xfId="3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9" borderId="2" xfId="1" applyFont="1" applyFill="1" applyBorder="1" applyAlignment="1">
      <alignment horizontal="center" vertical="center"/>
    </xf>
    <xf numFmtId="0" fontId="9" fillId="9" borderId="2" xfId="1" applyFont="1" applyFill="1" applyBorder="1" applyAlignment="1">
      <alignment horizontal="center" vertical="center"/>
    </xf>
    <xf numFmtId="0" fontId="11" fillId="9" borderId="13" xfId="1" applyFont="1" applyFill="1" applyBorder="1" applyAlignment="1">
      <alignment horizontal="center" vertical="center" wrapText="1"/>
    </xf>
    <xf numFmtId="0" fontId="11" fillId="9" borderId="14" xfId="1" applyFont="1" applyFill="1" applyBorder="1" applyAlignment="1">
      <alignment horizontal="center" vertical="center" wrapText="1"/>
    </xf>
    <xf numFmtId="0" fontId="11" fillId="9" borderId="15" xfId="1" applyFont="1" applyFill="1" applyBorder="1" applyAlignment="1">
      <alignment horizontal="center" vertical="center" wrapText="1"/>
    </xf>
    <xf numFmtId="0" fontId="11" fillId="9" borderId="3" xfId="1" applyFont="1" applyFill="1" applyBorder="1" applyAlignment="1">
      <alignment horizontal="center" vertical="center" wrapText="1"/>
    </xf>
    <xf numFmtId="0" fontId="11" fillId="9" borderId="4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top" wrapText="1"/>
    </xf>
    <xf numFmtId="0" fontId="1" fillId="2" borderId="0" xfId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left" vertical="center"/>
    </xf>
    <xf numFmtId="0" fontId="27" fillId="9" borderId="13" xfId="1" applyFont="1" applyFill="1" applyBorder="1" applyAlignment="1">
      <alignment horizontal="center" vertical="center"/>
    </xf>
    <xf numFmtId="0" fontId="27" fillId="9" borderId="15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9" fillId="0" borderId="0" xfId="1" applyFont="1" applyAlignment="1">
      <alignment wrapText="1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8" fillId="4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  <xf numFmtId="0" fontId="9" fillId="0" borderId="3" xfId="1" applyFont="1" applyFill="1" applyBorder="1" applyAlignment="1">
      <alignment wrapText="1"/>
    </xf>
    <xf numFmtId="0" fontId="9" fillId="0" borderId="6" xfId="1" applyFont="1" applyFill="1" applyBorder="1" applyAlignment="1">
      <alignment wrapText="1"/>
    </xf>
    <xf numFmtId="4" fontId="9" fillId="0" borderId="8" xfId="1" applyNumberFormat="1" applyFont="1" applyFill="1" applyBorder="1" applyAlignment="1">
      <alignment horizontal="left" vertical="top"/>
    </xf>
    <xf numFmtId="4" fontId="9" fillId="0" borderId="9" xfId="1" applyNumberFormat="1" applyFont="1" applyFill="1" applyBorder="1" applyAlignment="1">
      <alignment horizontal="left" vertical="top"/>
    </xf>
    <xf numFmtId="4" fontId="9" fillId="0" borderId="10" xfId="1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9" fillId="9" borderId="2" xfId="1" applyFont="1" applyFill="1" applyBorder="1" applyAlignment="1">
      <alignment horizontal="center"/>
    </xf>
    <xf numFmtId="4" fontId="9" fillId="0" borderId="8" xfId="1" applyNumberFormat="1" applyFont="1" applyFill="1" applyBorder="1" applyAlignment="1">
      <alignment horizontal="left"/>
    </xf>
    <xf numFmtId="4" fontId="9" fillId="0" borderId="9" xfId="1" applyNumberFormat="1" applyFont="1" applyFill="1" applyBorder="1" applyAlignment="1">
      <alignment horizontal="left"/>
    </xf>
    <xf numFmtId="4" fontId="9" fillId="0" borderId="10" xfId="1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29" fillId="0" borderId="0" xfId="1" applyFont="1" applyFill="1" applyBorder="1" applyAlignment="1">
      <alignment vertical="center"/>
    </xf>
    <xf numFmtId="0" fontId="9" fillId="0" borderId="0" xfId="1" applyFont="1" applyFill="1" applyBorder="1" applyAlignment="1"/>
    <xf numFmtId="0" fontId="33" fillId="0" borderId="5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38" fillId="2" borderId="0" xfId="1" applyFont="1" applyFill="1" applyBorder="1" applyAlignment="1">
      <alignment horizontal="center" vertical="center"/>
    </xf>
    <xf numFmtId="0" fontId="43" fillId="2" borderId="0" xfId="1" applyFont="1" applyFill="1" applyBorder="1" applyAlignment="1">
      <alignment horizontal="left" vertical="center"/>
    </xf>
    <xf numFmtId="0" fontId="56" fillId="2" borderId="0" xfId="0" applyFont="1" applyFill="1" applyAlignment="1">
      <alignment horizontal="left" wrapText="1"/>
    </xf>
    <xf numFmtId="0" fontId="55" fillId="2" borderId="91" xfId="0" applyFont="1" applyFill="1" applyBorder="1" applyAlignment="1">
      <alignment horizontal="center"/>
    </xf>
    <xf numFmtId="0" fontId="56" fillId="2" borderId="0" xfId="0" applyFont="1" applyFill="1" applyAlignment="1">
      <alignment horizontal="left" vertical="center" wrapText="1"/>
    </xf>
    <xf numFmtId="0" fontId="16" fillId="9" borderId="52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0" fontId="37" fillId="8" borderId="37" xfId="0" applyFont="1" applyFill="1" applyBorder="1" applyAlignment="1">
      <alignment horizontal="left" vertical="center"/>
    </xf>
    <xf numFmtId="0" fontId="37" fillId="8" borderId="14" xfId="0" applyFont="1" applyFill="1" applyBorder="1" applyAlignment="1">
      <alignment horizontal="left" vertical="center"/>
    </xf>
    <xf numFmtId="0" fontId="37" fillId="8" borderId="54" xfId="0" applyFont="1" applyFill="1" applyBorder="1" applyAlignment="1">
      <alignment horizontal="left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43" xfId="0" applyFont="1" applyFill="1" applyBorder="1" applyAlignment="1">
      <alignment horizontal="center" vertical="center" wrapText="1"/>
    </xf>
    <xf numFmtId="0" fontId="16" fillId="9" borderId="55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0" fontId="16" fillId="9" borderId="46" xfId="0" applyFont="1" applyFill="1" applyBorder="1" applyAlignment="1">
      <alignment horizontal="center" vertical="center"/>
    </xf>
    <xf numFmtId="0" fontId="16" fillId="9" borderId="32" xfId="0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left" vertical="center"/>
    </xf>
    <xf numFmtId="0" fontId="0" fillId="9" borderId="56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 wrapText="1"/>
    </xf>
    <xf numFmtId="0" fontId="0" fillId="9" borderId="5" xfId="0" applyFill="1" applyBorder="1"/>
    <xf numFmtId="0" fontId="0" fillId="9" borderId="52" xfId="0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57" xfId="0" applyFill="1" applyBorder="1" applyAlignment="1">
      <alignment horizontal="center" vertical="center" wrapText="1"/>
    </xf>
    <xf numFmtId="0" fontId="16" fillId="9" borderId="58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</cellXfs>
  <cellStyles count="10">
    <cellStyle name="Milliers 2" xfId="2"/>
    <cellStyle name="Milliers 2 2" xfId="6"/>
    <cellStyle name="Milliers 3" xfId="7"/>
    <cellStyle name="Milliers_Feuil1" xfId="4"/>
    <cellStyle name="Milliers_Feuil2" xfId="5"/>
    <cellStyle name="Monétaire 2" xfId="8"/>
    <cellStyle name="Normal" xfId="0" builtinId="0"/>
    <cellStyle name="Normal 2" xfId="1"/>
    <cellStyle name="Normal 3" xfId="9"/>
    <cellStyle name="Normal_Feuil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bet/AppData/Local/Microsoft/Windows/Temporary%20Internet%20Files/Content.IE5/DQ93IKME/TABLEAUX%20BUDGET%20ANNEXE%20CAMPU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out/AppData/Local/Temp/Copie%20de%20REX_Universit&#233;_Rennes2_Int&#233;gration_donn&#233;es_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bet/AppData/Local/Microsoft/Windows/Temporary%20Internet%20Files/Content.IE5/DQ93IKME/TABLEAUX%20BUDGET%20ANNEXE%20EQUIPE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bet/AppData/Local/Microsoft/Windows/Temporary%20Internet%20Files/Content.IE5/DQ93IKME/TABLEAUX%20BUDGET%20MISSION%20SUPPORT%20VERSION%20SANS%20MASSE%20SALARIALE%20ETA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bet/AppData/Local/Microsoft/Windows/Temporary%20Internet%20Files/Content.IE5/DQ93IKME/TABLEAUX%20BPI%20ESP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bet/AppData/Local/Microsoft/Windows/Temporary%20Internet%20Files/Content.IE5/DQ93IKME/TABLEAUX%20BUDGET%20RECTIFICATIF%20MISSION%20SUPPO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bet/AppData/Local/Microsoft/Windows/Temporary%20Internet%20Files/Content.IE5/DQ93IKME/TABLEAUX%20BUDGET%20ANNEXE%20RECTIFICATIF%20CAMPU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bet/AppData/Local/Microsoft/Windows/Temporary%20Internet%20Files/Content.IE5/DQ93IKME/TABLEAUX%20BPI%20RECTIFICATIF%20ESP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bet/AppData/Local/Microsoft/Windows/Temporary%20Internet%20Files/Content.IE5/DQ93IKME/TABLEAUX%20BUDGET%20ANNEXE%20RECTIFICATIF%20EQUIPEX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bet/AppData/Local/Microsoft/Windows/Temporary%20Internet%20Files/Content.IE5/DQ93IKME/Copie%20de%20REX_Universit&#233;_Rennes2_Int&#233;gration_donn&#233;es_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2"/>
      <sheetName val="tableau 3"/>
      <sheetName val="tableau 6"/>
      <sheetName val="explications"/>
    </sheetNames>
    <sheetDataSet>
      <sheetData sheetId="0">
        <row r="12">
          <cell r="F12">
            <v>0</v>
          </cell>
        </row>
        <row r="14">
          <cell r="F14">
            <v>0</v>
          </cell>
        </row>
        <row r="21">
          <cell r="F21">
            <v>0</v>
          </cell>
        </row>
      </sheetData>
      <sheetData sheetId="1">
        <row r="9">
          <cell r="C9">
            <v>132107</v>
          </cell>
        </row>
      </sheetData>
      <sheetData sheetId="2">
        <row r="9">
          <cell r="D9">
            <v>540000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"/>
      <sheetName val="CF"/>
      <sheetName val="Retraitement 904"/>
      <sheetName val="Chapitres"/>
      <sheetName val="Enveloppes"/>
      <sheetName val="Envel. par niv."/>
      <sheetName val="Nomenclature Fonds"/>
      <sheetName val="Corresp. Cptes"/>
      <sheetName val="Résultat Env. Cptes"/>
      <sheetName val="DomFct"/>
      <sheetName val="Corresp. DomFct"/>
      <sheetName val="Brut"/>
      <sheetName val="tab_aut_budg"/>
      <sheetName val="tab_aut_budg D"/>
      <sheetName val="Pensions civiles"/>
      <sheetName val="tab_aut_budg R"/>
      <sheetName val="tab_destination_origine"/>
      <sheetName val="DEST. LOLF D"/>
      <sheetName val="DEST. LOLF R"/>
      <sheetName val="tab_financier"/>
      <sheetName val="tab compte de tiers"/>
      <sheetName val="tab CR_TF"/>
      <sheetName val="tab CR_TF D"/>
      <sheetName val="Pens. civ."/>
      <sheetName val="tab CR_TF R"/>
      <sheetName val="tab Plan_tré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D101 Formation initiale et continue Licence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4">
          <cell r="A4" t="str">
            <v>Autres produits</v>
          </cell>
          <cell r="B4">
            <v>10746107</v>
          </cell>
        </row>
        <row r="5">
          <cell r="A5" t="str">
            <v>Investissements</v>
          </cell>
          <cell r="B5">
            <v>1231077</v>
          </cell>
        </row>
        <row r="6">
          <cell r="A6" t="str">
            <v>PG_COT_CAS  Cotisations CAS globalisées</v>
          </cell>
          <cell r="B6">
            <v>25549987</v>
          </cell>
        </row>
        <row r="7">
          <cell r="A7" t="str">
            <v>PG_COT_HCAS  Cotisations Hors CAS globalisées</v>
          </cell>
          <cell r="B7">
            <v>10289186</v>
          </cell>
        </row>
        <row r="8">
          <cell r="A8" t="str">
            <v>Subventions de l'Etat</v>
          </cell>
          <cell r="B8">
            <v>86956963</v>
          </cell>
        </row>
        <row r="9">
          <cell r="A9" t="str">
            <v>Autres subventions</v>
          </cell>
          <cell r="B9">
            <v>3268899</v>
          </cell>
        </row>
        <row r="10">
          <cell r="A10" t="str">
            <v>- (C 78) reprises sur amortissements, dépréciations et provisions</v>
          </cell>
          <cell r="B10">
            <v>4959700</v>
          </cell>
        </row>
        <row r="11">
          <cell r="A11" t="str">
            <v>+ (C 68) dotations aux amortissements, dépréciations et provisions</v>
          </cell>
          <cell r="B11">
            <v>5372808</v>
          </cell>
        </row>
        <row r="12">
          <cell r="A12" t="str">
            <v>Financement de l'actif par des tiers autres que l'État</v>
          </cell>
          <cell r="B12">
            <v>10000</v>
          </cell>
        </row>
        <row r="13">
          <cell r="A13" t="str">
            <v>Autres ressources</v>
          </cell>
          <cell r="B13">
            <v>16000</v>
          </cell>
        </row>
        <row r="14">
          <cell r="A14" t="str">
            <v>Financement de l'actif par l'État</v>
          </cell>
          <cell r="B14">
            <v>3000</v>
          </cell>
        </row>
        <row r="15">
          <cell r="A15" t="str">
            <v>Total</v>
          </cell>
          <cell r="B15">
            <v>148403727</v>
          </cell>
        </row>
      </sheetData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2"/>
      <sheetName val="tableau 3"/>
      <sheetName val="tableau 6"/>
    </sheetNames>
    <sheetDataSet>
      <sheetData sheetId="0">
        <row r="12">
          <cell r="F12">
            <v>0</v>
          </cell>
        </row>
        <row r="14">
          <cell r="F14">
            <v>0</v>
          </cell>
        </row>
        <row r="21">
          <cell r="F21">
            <v>0</v>
          </cell>
        </row>
      </sheetData>
      <sheetData sheetId="1">
        <row r="9">
          <cell r="E9">
            <v>180000</v>
          </cell>
        </row>
      </sheetData>
      <sheetData sheetId="2">
        <row r="9">
          <cell r="D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2"/>
      <sheetName val="tableau 3"/>
      <sheetName val="tableau 6"/>
    </sheetNames>
    <sheetDataSet>
      <sheetData sheetId="0">
        <row r="12">
          <cell r="F12">
            <v>0</v>
          </cell>
        </row>
        <row r="14">
          <cell r="F14">
            <v>0</v>
          </cell>
        </row>
        <row r="21">
          <cell r="F21">
            <v>0</v>
          </cell>
        </row>
      </sheetData>
      <sheetData sheetId="1"/>
      <sheetData sheetId="2">
        <row r="10">
          <cell r="B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2"/>
      <sheetName val="tableau 3"/>
      <sheetName val="tableau 6"/>
    </sheetNames>
    <sheetDataSet>
      <sheetData sheetId="0">
        <row r="20">
          <cell r="C20">
            <v>645292</v>
          </cell>
        </row>
      </sheetData>
      <sheetData sheetId="1">
        <row r="9">
          <cell r="C9">
            <v>119079</v>
          </cell>
        </row>
      </sheetData>
      <sheetData sheetId="2">
        <row r="10">
          <cell r="D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2"/>
      <sheetName val="tableau 3"/>
      <sheetName val="tableau 6"/>
    </sheetNames>
    <sheetDataSet>
      <sheetData sheetId="0">
        <row r="27">
          <cell r="F27">
            <v>696391</v>
          </cell>
        </row>
      </sheetData>
      <sheetData sheetId="1">
        <row r="9">
          <cell r="C9">
            <v>920913</v>
          </cell>
          <cell r="D9">
            <v>920913</v>
          </cell>
          <cell r="E9">
            <v>3095116</v>
          </cell>
          <cell r="F9">
            <v>3095116</v>
          </cell>
          <cell r="G9">
            <v>165000</v>
          </cell>
          <cell r="H9">
            <v>165000</v>
          </cell>
          <cell r="I9">
            <v>4181029</v>
          </cell>
          <cell r="J9">
            <v>4181029</v>
          </cell>
        </row>
        <row r="10">
          <cell r="C10">
            <v>351981</v>
          </cell>
          <cell r="D10">
            <v>351981</v>
          </cell>
          <cell r="E10">
            <v>825431</v>
          </cell>
          <cell r="F10">
            <v>825431</v>
          </cell>
          <cell r="G10">
            <v>0</v>
          </cell>
          <cell r="H10">
            <v>0</v>
          </cell>
        </row>
        <row r="11">
          <cell r="C11">
            <v>26933</v>
          </cell>
          <cell r="D11">
            <v>26933</v>
          </cell>
          <cell r="E11">
            <v>248431</v>
          </cell>
          <cell r="F11">
            <v>248431</v>
          </cell>
        </row>
        <row r="12">
          <cell r="C12">
            <v>179822</v>
          </cell>
          <cell r="D12">
            <v>179822</v>
          </cell>
        </row>
        <row r="13">
          <cell r="C13">
            <v>145226</v>
          </cell>
          <cell r="D13">
            <v>145226</v>
          </cell>
          <cell r="E13">
            <v>577000</v>
          </cell>
          <cell r="F13">
            <v>577000</v>
          </cell>
        </row>
        <row r="14">
          <cell r="C14">
            <v>9707</v>
          </cell>
          <cell r="D14">
            <v>9707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1">
          <cell r="C21">
            <v>73964</v>
          </cell>
          <cell r="D21">
            <v>73964</v>
          </cell>
          <cell r="E21">
            <v>985411</v>
          </cell>
          <cell r="F21">
            <v>985411</v>
          </cell>
        </row>
        <row r="22">
          <cell r="C22">
            <v>106830</v>
          </cell>
          <cell r="D22">
            <v>106830</v>
          </cell>
          <cell r="E22">
            <v>153514</v>
          </cell>
          <cell r="F22">
            <v>153514</v>
          </cell>
        </row>
        <row r="24">
          <cell r="C24">
            <v>378431</v>
          </cell>
          <cell r="D24">
            <v>378431</v>
          </cell>
          <cell r="E24">
            <v>1130760</v>
          </cell>
          <cell r="F24">
            <v>1130760</v>
          </cell>
          <cell r="G24">
            <v>165000</v>
          </cell>
          <cell r="H24">
            <v>165000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I28">
            <v>0</v>
          </cell>
          <cell r="J28">
            <v>0</v>
          </cell>
        </row>
        <row r="40">
          <cell r="G40">
            <v>217900</v>
          </cell>
        </row>
        <row r="46">
          <cell r="H46">
            <v>393750</v>
          </cell>
        </row>
        <row r="47">
          <cell r="F47">
            <v>243363</v>
          </cell>
          <cell r="I47">
            <v>980000</v>
          </cell>
        </row>
        <row r="48">
          <cell r="F48">
            <v>71430</v>
          </cell>
        </row>
        <row r="49">
          <cell r="F49">
            <v>25000</v>
          </cell>
        </row>
        <row r="51">
          <cell r="F51">
            <v>16950</v>
          </cell>
          <cell r="G51">
            <v>1466245</v>
          </cell>
          <cell r="H51">
            <v>70000</v>
          </cell>
        </row>
      </sheetData>
      <sheetData sheetId="2">
        <row r="9">
          <cell r="B9">
            <v>920913</v>
          </cell>
        </row>
        <row r="10">
          <cell r="D10">
            <v>0</v>
          </cell>
        </row>
        <row r="11">
          <cell r="B11">
            <v>3095116</v>
          </cell>
          <cell r="D11">
            <v>1319793</v>
          </cell>
        </row>
        <row r="12">
          <cell r="D12">
            <v>2164845</v>
          </cell>
        </row>
        <row r="36">
          <cell r="B36">
            <v>165000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2"/>
      <sheetName val="tableau 3"/>
      <sheetName val="tableau 6"/>
    </sheetNames>
    <sheetDataSet>
      <sheetData sheetId="0">
        <row r="27">
          <cell r="F27">
            <v>1850616</v>
          </cell>
        </row>
      </sheetData>
      <sheetData sheetId="1">
        <row r="9">
          <cell r="C9">
            <v>132107</v>
          </cell>
          <cell r="D9">
            <v>132107</v>
          </cell>
          <cell r="E9">
            <v>74622533</v>
          </cell>
          <cell r="F9">
            <v>2897854</v>
          </cell>
          <cell r="G9">
            <v>61421260</v>
          </cell>
          <cell r="H9">
            <v>7901356</v>
          </cell>
          <cell r="I9">
            <v>136175900</v>
          </cell>
          <cell r="J9">
            <v>10931317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73574640</v>
          </cell>
          <cell r="F23">
            <v>2829961</v>
          </cell>
          <cell r="G23">
            <v>61421260</v>
          </cell>
          <cell r="H23">
            <v>7901356</v>
          </cell>
        </row>
        <row r="24">
          <cell r="C24">
            <v>132107</v>
          </cell>
          <cell r="D24">
            <v>132107</v>
          </cell>
          <cell r="E24">
            <v>1047893</v>
          </cell>
          <cell r="F24">
            <v>67893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5681075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300000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1640000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1280000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179626</v>
          </cell>
          <cell r="J51">
            <v>0</v>
          </cell>
        </row>
      </sheetData>
      <sheetData sheetId="2">
        <row r="9">
          <cell r="B9">
            <v>132107</v>
          </cell>
          <cell r="D9">
            <v>3324719</v>
          </cell>
        </row>
        <row r="10">
          <cell r="B10">
            <v>0</v>
          </cell>
          <cell r="D10">
            <v>0</v>
          </cell>
        </row>
        <row r="11">
          <cell r="B11">
            <v>2897854</v>
          </cell>
          <cell r="D11">
            <v>179626</v>
          </cell>
        </row>
        <row r="12">
          <cell r="B12">
            <v>0</v>
          </cell>
          <cell r="D12">
            <v>0</v>
          </cell>
        </row>
        <row r="36">
          <cell r="B36">
            <v>7901356</v>
          </cell>
          <cell r="D36">
            <v>3636356</v>
          </cell>
        </row>
        <row r="37">
          <cell r="B37">
            <v>0</v>
          </cell>
          <cell r="D37">
            <v>1940000</v>
          </cell>
        </row>
        <row r="38">
          <cell r="B38">
            <v>0</v>
          </cell>
          <cell r="D3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2"/>
      <sheetName val="tableau 3"/>
      <sheetName val="tableau 6"/>
    </sheetNames>
    <sheetDataSet>
      <sheetData sheetId="0"/>
      <sheetData sheetId="1">
        <row r="9">
          <cell r="C9">
            <v>119079</v>
          </cell>
          <cell r="D9">
            <v>119079</v>
          </cell>
          <cell r="E9">
            <v>3070610</v>
          </cell>
          <cell r="F9">
            <v>3070610</v>
          </cell>
          <cell r="G9">
            <v>645292</v>
          </cell>
          <cell r="H9">
            <v>645292</v>
          </cell>
          <cell r="I9">
            <v>3834981</v>
          </cell>
          <cell r="J9">
            <v>3834981</v>
          </cell>
        </row>
        <row r="10">
          <cell r="C10">
            <v>0</v>
          </cell>
          <cell r="E10">
            <v>443060</v>
          </cell>
          <cell r="F10">
            <v>443060</v>
          </cell>
          <cell r="G10">
            <v>10000</v>
          </cell>
          <cell r="H10">
            <v>10000</v>
          </cell>
        </row>
        <row r="12">
          <cell r="E12">
            <v>443060</v>
          </cell>
          <cell r="F12">
            <v>443060</v>
          </cell>
          <cell r="G12">
            <v>10000</v>
          </cell>
          <cell r="H12">
            <v>10000</v>
          </cell>
        </row>
        <row r="14">
          <cell r="C14">
            <v>35000</v>
          </cell>
          <cell r="D14">
            <v>35000</v>
          </cell>
          <cell r="E14">
            <v>285000</v>
          </cell>
          <cell r="F14">
            <v>285000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1">
          <cell r="C21">
            <v>28830</v>
          </cell>
          <cell r="D21">
            <v>28830</v>
          </cell>
          <cell r="E21">
            <v>150000</v>
          </cell>
          <cell r="F21">
            <v>150000</v>
          </cell>
          <cell r="G21">
            <v>15000</v>
          </cell>
          <cell r="H21">
            <v>15000</v>
          </cell>
        </row>
        <row r="23">
          <cell r="E23">
            <v>1343330</v>
          </cell>
          <cell r="F23">
            <v>1343330</v>
          </cell>
          <cell r="G23">
            <v>332000</v>
          </cell>
          <cell r="H23">
            <v>332000</v>
          </cell>
        </row>
        <row r="24">
          <cell r="C24">
            <v>55249</v>
          </cell>
          <cell r="D24">
            <v>55249</v>
          </cell>
          <cell r="E24">
            <v>849220</v>
          </cell>
          <cell r="F24">
            <v>849220</v>
          </cell>
          <cell r="G24">
            <v>288292</v>
          </cell>
          <cell r="H24">
            <v>288292</v>
          </cell>
        </row>
        <row r="25">
          <cell r="C25">
            <v>0</v>
          </cell>
          <cell r="D25">
            <v>0</v>
          </cell>
          <cell r="E25">
            <v>252100</v>
          </cell>
          <cell r="F25">
            <v>252100</v>
          </cell>
          <cell r="G25">
            <v>0</v>
          </cell>
          <cell r="H25">
            <v>0</v>
          </cell>
          <cell r="I25">
            <v>252100</v>
          </cell>
          <cell r="J25">
            <v>252100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E27">
            <v>252100</v>
          </cell>
          <cell r="F27">
            <v>252100</v>
          </cell>
          <cell r="I27">
            <v>252100</v>
          </cell>
          <cell r="J27">
            <v>252100</v>
          </cell>
        </row>
        <row r="28">
          <cell r="D28">
            <v>0</v>
          </cell>
          <cell r="I28">
            <v>0</v>
          </cell>
          <cell r="J28">
            <v>0</v>
          </cell>
        </row>
        <row r="40">
          <cell r="G40">
            <v>469915</v>
          </cell>
        </row>
        <row r="41">
          <cell r="G41">
            <v>168401</v>
          </cell>
        </row>
        <row r="42">
          <cell r="G42">
            <v>10000</v>
          </cell>
        </row>
        <row r="51">
          <cell r="F51">
            <v>2402065</v>
          </cell>
          <cell r="G51">
            <v>1036700</v>
          </cell>
        </row>
      </sheetData>
      <sheetData sheetId="2">
        <row r="9">
          <cell r="B9">
            <v>119079</v>
          </cell>
        </row>
        <row r="10">
          <cell r="D10">
            <v>0</v>
          </cell>
        </row>
        <row r="11">
          <cell r="B11">
            <v>3322710</v>
          </cell>
        </row>
        <row r="12">
          <cell r="D12">
            <v>4087081</v>
          </cell>
        </row>
        <row r="36">
          <cell r="B36">
            <v>645292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2"/>
      <sheetName val="tableau 3"/>
      <sheetName val="tableau 6"/>
    </sheetNames>
    <sheetDataSet>
      <sheetData sheetId="0"/>
      <sheetData sheetId="1">
        <row r="9">
          <cell r="C9">
            <v>0</v>
          </cell>
          <cell r="D9">
            <v>0</v>
          </cell>
          <cell r="E9">
            <v>180000</v>
          </cell>
          <cell r="F9">
            <v>180000</v>
          </cell>
          <cell r="G9">
            <v>0</v>
          </cell>
          <cell r="H9">
            <v>0</v>
          </cell>
          <cell r="I9">
            <v>180000</v>
          </cell>
          <cell r="J9">
            <v>180000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180000</v>
          </cell>
          <cell r="F21">
            <v>180000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180000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</sheetData>
      <sheetData sheetId="2">
        <row r="9">
          <cell r="B9">
            <v>0</v>
          </cell>
          <cell r="D9">
            <v>0</v>
          </cell>
        </row>
        <row r="10">
          <cell r="B10">
            <v>0</v>
          </cell>
          <cell r="D10">
            <v>0</v>
          </cell>
        </row>
        <row r="11">
          <cell r="B11">
            <v>180000</v>
          </cell>
          <cell r="D11">
            <v>0</v>
          </cell>
        </row>
        <row r="12">
          <cell r="B12">
            <v>0</v>
          </cell>
          <cell r="D12">
            <v>180000</v>
          </cell>
        </row>
        <row r="36">
          <cell r="B36">
            <v>0</v>
          </cell>
          <cell r="D36">
            <v>0</v>
          </cell>
        </row>
        <row r="37">
          <cell r="B37">
            <v>0</v>
          </cell>
          <cell r="D37">
            <v>0</v>
          </cell>
        </row>
        <row r="38">
          <cell r="B38">
            <v>0</v>
          </cell>
          <cell r="D3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"/>
      <sheetName val="CF"/>
      <sheetName val="Retraitement 904"/>
      <sheetName val="Chapitres"/>
      <sheetName val="Enveloppes"/>
      <sheetName val="Envel. par niv."/>
      <sheetName val="Nomenclature Fonds"/>
      <sheetName val="Corresp. Cptes"/>
      <sheetName val="Résultat Env. Cptes"/>
      <sheetName val="DomFct"/>
      <sheetName val="Corresp. DomFct"/>
      <sheetName val="Brut"/>
      <sheetName val="tab_aut_budg"/>
      <sheetName val="tab_aut_budg D"/>
      <sheetName val="Pensions civiles"/>
      <sheetName val="tab_aut_budg R"/>
      <sheetName val="tab_destination_origine"/>
      <sheetName val="DEST. LOLF D"/>
      <sheetName val="DEST. LOLF R"/>
      <sheetName val="tab_financier"/>
      <sheetName val="tab compte de tiers"/>
      <sheetName val="tab CR_TF"/>
      <sheetName val="tab CR_TF D"/>
      <sheetName val="Pens. civ."/>
      <sheetName val="tab CR_TF R"/>
      <sheetName val="tab Plan_tréso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F15" sqref="F15"/>
    </sheetView>
  </sheetViews>
  <sheetFormatPr baseColWidth="10" defaultRowHeight="15" x14ac:dyDescent="0.25"/>
  <cols>
    <col min="1" max="1" width="1.7109375" style="90" customWidth="1"/>
    <col min="2" max="2" width="45.7109375" style="90" customWidth="1"/>
    <col min="3" max="4" width="16.42578125" style="90" bestFit="1" customWidth="1"/>
    <col min="5" max="5" width="3.42578125" style="90" customWidth="1"/>
    <col min="6" max="6" width="15.7109375" style="90" customWidth="1"/>
    <col min="7" max="7" width="45.7109375" style="90" customWidth="1"/>
    <col min="8" max="8" width="0" style="90" hidden="1" customWidth="1"/>
    <col min="9" max="256" width="11.42578125" style="90"/>
    <col min="257" max="257" width="1.7109375" style="90" customWidth="1"/>
    <col min="258" max="258" width="45.7109375" style="90" customWidth="1"/>
    <col min="259" max="260" width="16.42578125" style="90" bestFit="1" customWidth="1"/>
    <col min="261" max="261" width="3.42578125" style="90" customWidth="1"/>
    <col min="262" max="262" width="15.7109375" style="90" customWidth="1"/>
    <col min="263" max="263" width="45.7109375" style="90" customWidth="1"/>
    <col min="264" max="264" width="0" style="90" hidden="1" customWidth="1"/>
    <col min="265" max="512" width="11.42578125" style="90"/>
    <col min="513" max="513" width="1.7109375" style="90" customWidth="1"/>
    <col min="514" max="514" width="45.7109375" style="90" customWidth="1"/>
    <col min="515" max="516" width="16.42578125" style="90" bestFit="1" customWidth="1"/>
    <col min="517" max="517" width="3.42578125" style="90" customWidth="1"/>
    <col min="518" max="518" width="15.7109375" style="90" customWidth="1"/>
    <col min="519" max="519" width="45.7109375" style="90" customWidth="1"/>
    <col min="520" max="520" width="0" style="90" hidden="1" customWidth="1"/>
    <col min="521" max="768" width="11.42578125" style="90"/>
    <col min="769" max="769" width="1.7109375" style="90" customWidth="1"/>
    <col min="770" max="770" width="45.7109375" style="90" customWidth="1"/>
    <col min="771" max="772" width="16.42578125" style="90" bestFit="1" customWidth="1"/>
    <col min="773" max="773" width="3.42578125" style="90" customWidth="1"/>
    <col min="774" max="774" width="15.7109375" style="90" customWidth="1"/>
    <col min="775" max="775" width="45.7109375" style="90" customWidth="1"/>
    <col min="776" max="776" width="0" style="90" hidden="1" customWidth="1"/>
    <col min="777" max="1024" width="11.42578125" style="90"/>
    <col min="1025" max="1025" width="1.7109375" style="90" customWidth="1"/>
    <col min="1026" max="1026" width="45.7109375" style="90" customWidth="1"/>
    <col min="1027" max="1028" width="16.42578125" style="90" bestFit="1" customWidth="1"/>
    <col min="1029" max="1029" width="3.42578125" style="90" customWidth="1"/>
    <col min="1030" max="1030" width="15.7109375" style="90" customWidth="1"/>
    <col min="1031" max="1031" width="45.7109375" style="90" customWidth="1"/>
    <col min="1032" max="1032" width="0" style="90" hidden="1" customWidth="1"/>
    <col min="1033" max="1280" width="11.42578125" style="90"/>
    <col min="1281" max="1281" width="1.7109375" style="90" customWidth="1"/>
    <col min="1282" max="1282" width="45.7109375" style="90" customWidth="1"/>
    <col min="1283" max="1284" width="16.42578125" style="90" bestFit="1" customWidth="1"/>
    <col min="1285" max="1285" width="3.42578125" style="90" customWidth="1"/>
    <col min="1286" max="1286" width="15.7109375" style="90" customWidth="1"/>
    <col min="1287" max="1287" width="45.7109375" style="90" customWidth="1"/>
    <col min="1288" max="1288" width="0" style="90" hidden="1" customWidth="1"/>
    <col min="1289" max="1536" width="11.42578125" style="90"/>
    <col min="1537" max="1537" width="1.7109375" style="90" customWidth="1"/>
    <col min="1538" max="1538" width="45.7109375" style="90" customWidth="1"/>
    <col min="1539" max="1540" width="16.42578125" style="90" bestFit="1" customWidth="1"/>
    <col min="1541" max="1541" width="3.42578125" style="90" customWidth="1"/>
    <col min="1542" max="1542" width="15.7109375" style="90" customWidth="1"/>
    <col min="1543" max="1543" width="45.7109375" style="90" customWidth="1"/>
    <col min="1544" max="1544" width="0" style="90" hidden="1" customWidth="1"/>
    <col min="1545" max="1792" width="11.42578125" style="90"/>
    <col min="1793" max="1793" width="1.7109375" style="90" customWidth="1"/>
    <col min="1794" max="1794" width="45.7109375" style="90" customWidth="1"/>
    <col min="1795" max="1796" width="16.42578125" style="90" bestFit="1" customWidth="1"/>
    <col min="1797" max="1797" width="3.42578125" style="90" customWidth="1"/>
    <col min="1798" max="1798" width="15.7109375" style="90" customWidth="1"/>
    <col min="1799" max="1799" width="45.7109375" style="90" customWidth="1"/>
    <col min="1800" max="1800" width="0" style="90" hidden="1" customWidth="1"/>
    <col min="1801" max="2048" width="11.42578125" style="90"/>
    <col min="2049" max="2049" width="1.7109375" style="90" customWidth="1"/>
    <col min="2050" max="2050" width="45.7109375" style="90" customWidth="1"/>
    <col min="2051" max="2052" width="16.42578125" style="90" bestFit="1" customWidth="1"/>
    <col min="2053" max="2053" width="3.42578125" style="90" customWidth="1"/>
    <col min="2054" max="2054" width="15.7109375" style="90" customWidth="1"/>
    <col min="2055" max="2055" width="45.7109375" style="90" customWidth="1"/>
    <col min="2056" max="2056" width="0" style="90" hidden="1" customWidth="1"/>
    <col min="2057" max="2304" width="11.42578125" style="90"/>
    <col min="2305" max="2305" width="1.7109375" style="90" customWidth="1"/>
    <col min="2306" max="2306" width="45.7109375" style="90" customWidth="1"/>
    <col min="2307" max="2308" width="16.42578125" style="90" bestFit="1" customWidth="1"/>
    <col min="2309" max="2309" width="3.42578125" style="90" customWidth="1"/>
    <col min="2310" max="2310" width="15.7109375" style="90" customWidth="1"/>
    <col min="2311" max="2311" width="45.7109375" style="90" customWidth="1"/>
    <col min="2312" max="2312" width="0" style="90" hidden="1" customWidth="1"/>
    <col min="2313" max="2560" width="11.42578125" style="90"/>
    <col min="2561" max="2561" width="1.7109375" style="90" customWidth="1"/>
    <col min="2562" max="2562" width="45.7109375" style="90" customWidth="1"/>
    <col min="2563" max="2564" width="16.42578125" style="90" bestFit="1" customWidth="1"/>
    <col min="2565" max="2565" width="3.42578125" style="90" customWidth="1"/>
    <col min="2566" max="2566" width="15.7109375" style="90" customWidth="1"/>
    <col min="2567" max="2567" width="45.7109375" style="90" customWidth="1"/>
    <col min="2568" max="2568" width="0" style="90" hidden="1" customWidth="1"/>
    <col min="2569" max="2816" width="11.42578125" style="90"/>
    <col min="2817" max="2817" width="1.7109375" style="90" customWidth="1"/>
    <col min="2818" max="2818" width="45.7109375" style="90" customWidth="1"/>
    <col min="2819" max="2820" width="16.42578125" style="90" bestFit="1" customWidth="1"/>
    <col min="2821" max="2821" width="3.42578125" style="90" customWidth="1"/>
    <col min="2822" max="2822" width="15.7109375" style="90" customWidth="1"/>
    <col min="2823" max="2823" width="45.7109375" style="90" customWidth="1"/>
    <col min="2824" max="2824" width="0" style="90" hidden="1" customWidth="1"/>
    <col min="2825" max="3072" width="11.42578125" style="90"/>
    <col min="3073" max="3073" width="1.7109375" style="90" customWidth="1"/>
    <col min="3074" max="3074" width="45.7109375" style="90" customWidth="1"/>
    <col min="3075" max="3076" width="16.42578125" style="90" bestFit="1" customWidth="1"/>
    <col min="3077" max="3077" width="3.42578125" style="90" customWidth="1"/>
    <col min="3078" max="3078" width="15.7109375" style="90" customWidth="1"/>
    <col min="3079" max="3079" width="45.7109375" style="90" customWidth="1"/>
    <col min="3080" max="3080" width="0" style="90" hidden="1" customWidth="1"/>
    <col min="3081" max="3328" width="11.42578125" style="90"/>
    <col min="3329" max="3329" width="1.7109375" style="90" customWidth="1"/>
    <col min="3330" max="3330" width="45.7109375" style="90" customWidth="1"/>
    <col min="3331" max="3332" width="16.42578125" style="90" bestFit="1" customWidth="1"/>
    <col min="3333" max="3333" width="3.42578125" style="90" customWidth="1"/>
    <col min="3334" max="3334" width="15.7109375" style="90" customWidth="1"/>
    <col min="3335" max="3335" width="45.7109375" style="90" customWidth="1"/>
    <col min="3336" max="3336" width="0" style="90" hidden="1" customWidth="1"/>
    <col min="3337" max="3584" width="11.42578125" style="90"/>
    <col min="3585" max="3585" width="1.7109375" style="90" customWidth="1"/>
    <col min="3586" max="3586" width="45.7109375" style="90" customWidth="1"/>
    <col min="3587" max="3588" width="16.42578125" style="90" bestFit="1" customWidth="1"/>
    <col min="3589" max="3589" width="3.42578125" style="90" customWidth="1"/>
    <col min="3590" max="3590" width="15.7109375" style="90" customWidth="1"/>
    <col min="3591" max="3591" width="45.7109375" style="90" customWidth="1"/>
    <col min="3592" max="3592" width="0" style="90" hidden="1" customWidth="1"/>
    <col min="3593" max="3840" width="11.42578125" style="90"/>
    <col min="3841" max="3841" width="1.7109375" style="90" customWidth="1"/>
    <col min="3842" max="3842" width="45.7109375" style="90" customWidth="1"/>
    <col min="3843" max="3844" width="16.42578125" style="90" bestFit="1" customWidth="1"/>
    <col min="3845" max="3845" width="3.42578125" style="90" customWidth="1"/>
    <col min="3846" max="3846" width="15.7109375" style="90" customWidth="1"/>
    <col min="3847" max="3847" width="45.7109375" style="90" customWidth="1"/>
    <col min="3848" max="3848" width="0" style="90" hidden="1" customWidth="1"/>
    <col min="3849" max="4096" width="11.42578125" style="90"/>
    <col min="4097" max="4097" width="1.7109375" style="90" customWidth="1"/>
    <col min="4098" max="4098" width="45.7109375" style="90" customWidth="1"/>
    <col min="4099" max="4100" width="16.42578125" style="90" bestFit="1" customWidth="1"/>
    <col min="4101" max="4101" width="3.42578125" style="90" customWidth="1"/>
    <col min="4102" max="4102" width="15.7109375" style="90" customWidth="1"/>
    <col min="4103" max="4103" width="45.7109375" style="90" customWidth="1"/>
    <col min="4104" max="4104" width="0" style="90" hidden="1" customWidth="1"/>
    <col min="4105" max="4352" width="11.42578125" style="90"/>
    <col min="4353" max="4353" width="1.7109375" style="90" customWidth="1"/>
    <col min="4354" max="4354" width="45.7109375" style="90" customWidth="1"/>
    <col min="4355" max="4356" width="16.42578125" style="90" bestFit="1" customWidth="1"/>
    <col min="4357" max="4357" width="3.42578125" style="90" customWidth="1"/>
    <col min="4358" max="4358" width="15.7109375" style="90" customWidth="1"/>
    <col min="4359" max="4359" width="45.7109375" style="90" customWidth="1"/>
    <col min="4360" max="4360" width="0" style="90" hidden="1" customWidth="1"/>
    <col min="4361" max="4608" width="11.42578125" style="90"/>
    <col min="4609" max="4609" width="1.7109375" style="90" customWidth="1"/>
    <col min="4610" max="4610" width="45.7109375" style="90" customWidth="1"/>
    <col min="4611" max="4612" width="16.42578125" style="90" bestFit="1" customWidth="1"/>
    <col min="4613" max="4613" width="3.42578125" style="90" customWidth="1"/>
    <col min="4614" max="4614" width="15.7109375" style="90" customWidth="1"/>
    <col min="4615" max="4615" width="45.7109375" style="90" customWidth="1"/>
    <col min="4616" max="4616" width="0" style="90" hidden="1" customWidth="1"/>
    <col min="4617" max="4864" width="11.42578125" style="90"/>
    <col min="4865" max="4865" width="1.7109375" style="90" customWidth="1"/>
    <col min="4866" max="4866" width="45.7109375" style="90" customWidth="1"/>
    <col min="4867" max="4868" width="16.42578125" style="90" bestFit="1" customWidth="1"/>
    <col min="4869" max="4869" width="3.42578125" style="90" customWidth="1"/>
    <col min="4870" max="4870" width="15.7109375" style="90" customWidth="1"/>
    <col min="4871" max="4871" width="45.7109375" style="90" customWidth="1"/>
    <col min="4872" max="4872" width="0" style="90" hidden="1" customWidth="1"/>
    <col min="4873" max="5120" width="11.42578125" style="90"/>
    <col min="5121" max="5121" width="1.7109375" style="90" customWidth="1"/>
    <col min="5122" max="5122" width="45.7109375" style="90" customWidth="1"/>
    <col min="5123" max="5124" width="16.42578125" style="90" bestFit="1" customWidth="1"/>
    <col min="5125" max="5125" width="3.42578125" style="90" customWidth="1"/>
    <col min="5126" max="5126" width="15.7109375" style="90" customWidth="1"/>
    <col min="5127" max="5127" width="45.7109375" style="90" customWidth="1"/>
    <col min="5128" max="5128" width="0" style="90" hidden="1" customWidth="1"/>
    <col min="5129" max="5376" width="11.42578125" style="90"/>
    <col min="5377" max="5377" width="1.7109375" style="90" customWidth="1"/>
    <col min="5378" max="5378" width="45.7109375" style="90" customWidth="1"/>
    <col min="5379" max="5380" width="16.42578125" style="90" bestFit="1" customWidth="1"/>
    <col min="5381" max="5381" width="3.42578125" style="90" customWidth="1"/>
    <col min="5382" max="5382" width="15.7109375" style="90" customWidth="1"/>
    <col min="5383" max="5383" width="45.7109375" style="90" customWidth="1"/>
    <col min="5384" max="5384" width="0" style="90" hidden="1" customWidth="1"/>
    <col min="5385" max="5632" width="11.42578125" style="90"/>
    <col min="5633" max="5633" width="1.7109375" style="90" customWidth="1"/>
    <col min="5634" max="5634" width="45.7109375" style="90" customWidth="1"/>
    <col min="5635" max="5636" width="16.42578125" style="90" bestFit="1" customWidth="1"/>
    <col min="5637" max="5637" width="3.42578125" style="90" customWidth="1"/>
    <col min="5638" max="5638" width="15.7109375" style="90" customWidth="1"/>
    <col min="5639" max="5639" width="45.7109375" style="90" customWidth="1"/>
    <col min="5640" max="5640" width="0" style="90" hidden="1" customWidth="1"/>
    <col min="5641" max="5888" width="11.42578125" style="90"/>
    <col min="5889" max="5889" width="1.7109375" style="90" customWidth="1"/>
    <col min="5890" max="5890" width="45.7109375" style="90" customWidth="1"/>
    <col min="5891" max="5892" width="16.42578125" style="90" bestFit="1" customWidth="1"/>
    <col min="5893" max="5893" width="3.42578125" style="90" customWidth="1"/>
    <col min="5894" max="5894" width="15.7109375" style="90" customWidth="1"/>
    <col min="5895" max="5895" width="45.7109375" style="90" customWidth="1"/>
    <col min="5896" max="5896" width="0" style="90" hidden="1" customWidth="1"/>
    <col min="5897" max="6144" width="11.42578125" style="90"/>
    <col min="6145" max="6145" width="1.7109375" style="90" customWidth="1"/>
    <col min="6146" max="6146" width="45.7109375" style="90" customWidth="1"/>
    <col min="6147" max="6148" width="16.42578125" style="90" bestFit="1" customWidth="1"/>
    <col min="6149" max="6149" width="3.42578125" style="90" customWidth="1"/>
    <col min="6150" max="6150" width="15.7109375" style="90" customWidth="1"/>
    <col min="6151" max="6151" width="45.7109375" style="90" customWidth="1"/>
    <col min="6152" max="6152" width="0" style="90" hidden="1" customWidth="1"/>
    <col min="6153" max="6400" width="11.42578125" style="90"/>
    <col min="6401" max="6401" width="1.7109375" style="90" customWidth="1"/>
    <col min="6402" max="6402" width="45.7109375" style="90" customWidth="1"/>
    <col min="6403" max="6404" width="16.42578125" style="90" bestFit="1" customWidth="1"/>
    <col min="6405" max="6405" width="3.42578125" style="90" customWidth="1"/>
    <col min="6406" max="6406" width="15.7109375" style="90" customWidth="1"/>
    <col min="6407" max="6407" width="45.7109375" style="90" customWidth="1"/>
    <col min="6408" max="6408" width="0" style="90" hidden="1" customWidth="1"/>
    <col min="6409" max="6656" width="11.42578125" style="90"/>
    <col min="6657" max="6657" width="1.7109375" style="90" customWidth="1"/>
    <col min="6658" max="6658" width="45.7109375" style="90" customWidth="1"/>
    <col min="6659" max="6660" width="16.42578125" style="90" bestFit="1" customWidth="1"/>
    <col min="6661" max="6661" width="3.42578125" style="90" customWidth="1"/>
    <col min="6662" max="6662" width="15.7109375" style="90" customWidth="1"/>
    <col min="6663" max="6663" width="45.7109375" style="90" customWidth="1"/>
    <col min="6664" max="6664" width="0" style="90" hidden="1" customWidth="1"/>
    <col min="6665" max="6912" width="11.42578125" style="90"/>
    <col min="6913" max="6913" width="1.7109375" style="90" customWidth="1"/>
    <col min="6914" max="6914" width="45.7109375" style="90" customWidth="1"/>
    <col min="6915" max="6916" width="16.42578125" style="90" bestFit="1" customWidth="1"/>
    <col min="6917" max="6917" width="3.42578125" style="90" customWidth="1"/>
    <col min="6918" max="6918" width="15.7109375" style="90" customWidth="1"/>
    <col min="6919" max="6919" width="45.7109375" style="90" customWidth="1"/>
    <col min="6920" max="6920" width="0" style="90" hidden="1" customWidth="1"/>
    <col min="6921" max="7168" width="11.42578125" style="90"/>
    <col min="7169" max="7169" width="1.7109375" style="90" customWidth="1"/>
    <col min="7170" max="7170" width="45.7109375" style="90" customWidth="1"/>
    <col min="7171" max="7172" width="16.42578125" style="90" bestFit="1" customWidth="1"/>
    <col min="7173" max="7173" width="3.42578125" style="90" customWidth="1"/>
    <col min="7174" max="7174" width="15.7109375" style="90" customWidth="1"/>
    <col min="7175" max="7175" width="45.7109375" style="90" customWidth="1"/>
    <col min="7176" max="7176" width="0" style="90" hidden="1" customWidth="1"/>
    <col min="7177" max="7424" width="11.42578125" style="90"/>
    <col min="7425" max="7425" width="1.7109375" style="90" customWidth="1"/>
    <col min="7426" max="7426" width="45.7109375" style="90" customWidth="1"/>
    <col min="7427" max="7428" width="16.42578125" style="90" bestFit="1" customWidth="1"/>
    <col min="7429" max="7429" width="3.42578125" style="90" customWidth="1"/>
    <col min="7430" max="7430" width="15.7109375" style="90" customWidth="1"/>
    <col min="7431" max="7431" width="45.7109375" style="90" customWidth="1"/>
    <col min="7432" max="7432" width="0" style="90" hidden="1" customWidth="1"/>
    <col min="7433" max="7680" width="11.42578125" style="90"/>
    <col min="7681" max="7681" width="1.7109375" style="90" customWidth="1"/>
    <col min="7682" max="7682" width="45.7109375" style="90" customWidth="1"/>
    <col min="7683" max="7684" width="16.42578125" style="90" bestFit="1" customWidth="1"/>
    <col min="7685" max="7685" width="3.42578125" style="90" customWidth="1"/>
    <col min="7686" max="7686" width="15.7109375" style="90" customWidth="1"/>
    <col min="7687" max="7687" width="45.7109375" style="90" customWidth="1"/>
    <col min="7688" max="7688" width="0" style="90" hidden="1" customWidth="1"/>
    <col min="7689" max="7936" width="11.42578125" style="90"/>
    <col min="7937" max="7937" width="1.7109375" style="90" customWidth="1"/>
    <col min="7938" max="7938" width="45.7109375" style="90" customWidth="1"/>
    <col min="7939" max="7940" width="16.42578125" style="90" bestFit="1" customWidth="1"/>
    <col min="7941" max="7941" width="3.42578125" style="90" customWidth="1"/>
    <col min="7942" max="7942" width="15.7109375" style="90" customWidth="1"/>
    <col min="7943" max="7943" width="45.7109375" style="90" customWidth="1"/>
    <col min="7944" max="7944" width="0" style="90" hidden="1" customWidth="1"/>
    <col min="7945" max="8192" width="11.42578125" style="90"/>
    <col min="8193" max="8193" width="1.7109375" style="90" customWidth="1"/>
    <col min="8194" max="8194" width="45.7109375" style="90" customWidth="1"/>
    <col min="8195" max="8196" width="16.42578125" style="90" bestFit="1" customWidth="1"/>
    <col min="8197" max="8197" width="3.42578125" style="90" customWidth="1"/>
    <col min="8198" max="8198" width="15.7109375" style="90" customWidth="1"/>
    <col min="8199" max="8199" width="45.7109375" style="90" customWidth="1"/>
    <col min="8200" max="8200" width="0" style="90" hidden="1" customWidth="1"/>
    <col min="8201" max="8448" width="11.42578125" style="90"/>
    <col min="8449" max="8449" width="1.7109375" style="90" customWidth="1"/>
    <col min="8450" max="8450" width="45.7109375" style="90" customWidth="1"/>
    <col min="8451" max="8452" width="16.42578125" style="90" bestFit="1" customWidth="1"/>
    <col min="8453" max="8453" width="3.42578125" style="90" customWidth="1"/>
    <col min="8454" max="8454" width="15.7109375" style="90" customWidth="1"/>
    <col min="8455" max="8455" width="45.7109375" style="90" customWidth="1"/>
    <col min="8456" max="8456" width="0" style="90" hidden="1" customWidth="1"/>
    <col min="8457" max="8704" width="11.42578125" style="90"/>
    <col min="8705" max="8705" width="1.7109375" style="90" customWidth="1"/>
    <col min="8706" max="8706" width="45.7109375" style="90" customWidth="1"/>
    <col min="8707" max="8708" width="16.42578125" style="90" bestFit="1" customWidth="1"/>
    <col min="8709" max="8709" width="3.42578125" style="90" customWidth="1"/>
    <col min="8710" max="8710" width="15.7109375" style="90" customWidth="1"/>
    <col min="8711" max="8711" width="45.7109375" style="90" customWidth="1"/>
    <col min="8712" max="8712" width="0" style="90" hidden="1" customWidth="1"/>
    <col min="8713" max="8960" width="11.42578125" style="90"/>
    <col min="8961" max="8961" width="1.7109375" style="90" customWidth="1"/>
    <col min="8962" max="8962" width="45.7109375" style="90" customWidth="1"/>
    <col min="8963" max="8964" width="16.42578125" style="90" bestFit="1" customWidth="1"/>
    <col min="8965" max="8965" width="3.42578125" style="90" customWidth="1"/>
    <col min="8966" max="8966" width="15.7109375" style="90" customWidth="1"/>
    <col min="8967" max="8967" width="45.7109375" style="90" customWidth="1"/>
    <col min="8968" max="8968" width="0" style="90" hidden="1" customWidth="1"/>
    <col min="8969" max="9216" width="11.42578125" style="90"/>
    <col min="9217" max="9217" width="1.7109375" style="90" customWidth="1"/>
    <col min="9218" max="9218" width="45.7109375" style="90" customWidth="1"/>
    <col min="9219" max="9220" width="16.42578125" style="90" bestFit="1" customWidth="1"/>
    <col min="9221" max="9221" width="3.42578125" style="90" customWidth="1"/>
    <col min="9222" max="9222" width="15.7109375" style="90" customWidth="1"/>
    <col min="9223" max="9223" width="45.7109375" style="90" customWidth="1"/>
    <col min="9224" max="9224" width="0" style="90" hidden="1" customWidth="1"/>
    <col min="9225" max="9472" width="11.42578125" style="90"/>
    <col min="9473" max="9473" width="1.7109375" style="90" customWidth="1"/>
    <col min="9474" max="9474" width="45.7109375" style="90" customWidth="1"/>
    <col min="9475" max="9476" width="16.42578125" style="90" bestFit="1" customWidth="1"/>
    <col min="9477" max="9477" width="3.42578125" style="90" customWidth="1"/>
    <col min="9478" max="9478" width="15.7109375" style="90" customWidth="1"/>
    <col min="9479" max="9479" width="45.7109375" style="90" customWidth="1"/>
    <col min="9480" max="9480" width="0" style="90" hidden="1" customWidth="1"/>
    <col min="9481" max="9728" width="11.42578125" style="90"/>
    <col min="9729" max="9729" width="1.7109375" style="90" customWidth="1"/>
    <col min="9730" max="9730" width="45.7109375" style="90" customWidth="1"/>
    <col min="9731" max="9732" width="16.42578125" style="90" bestFit="1" customWidth="1"/>
    <col min="9733" max="9733" width="3.42578125" style="90" customWidth="1"/>
    <col min="9734" max="9734" width="15.7109375" style="90" customWidth="1"/>
    <col min="9735" max="9735" width="45.7109375" style="90" customWidth="1"/>
    <col min="9736" max="9736" width="0" style="90" hidden="1" customWidth="1"/>
    <col min="9737" max="9984" width="11.42578125" style="90"/>
    <col min="9985" max="9985" width="1.7109375" style="90" customWidth="1"/>
    <col min="9986" max="9986" width="45.7109375" style="90" customWidth="1"/>
    <col min="9987" max="9988" width="16.42578125" style="90" bestFit="1" customWidth="1"/>
    <col min="9989" max="9989" width="3.42578125" style="90" customWidth="1"/>
    <col min="9990" max="9990" width="15.7109375" style="90" customWidth="1"/>
    <col min="9991" max="9991" width="45.7109375" style="90" customWidth="1"/>
    <col min="9992" max="9992" width="0" style="90" hidden="1" customWidth="1"/>
    <col min="9993" max="10240" width="11.42578125" style="90"/>
    <col min="10241" max="10241" width="1.7109375" style="90" customWidth="1"/>
    <col min="10242" max="10242" width="45.7109375" style="90" customWidth="1"/>
    <col min="10243" max="10244" width="16.42578125" style="90" bestFit="1" customWidth="1"/>
    <col min="10245" max="10245" width="3.42578125" style="90" customWidth="1"/>
    <col min="10246" max="10246" width="15.7109375" style="90" customWidth="1"/>
    <col min="10247" max="10247" width="45.7109375" style="90" customWidth="1"/>
    <col min="10248" max="10248" width="0" style="90" hidden="1" customWidth="1"/>
    <col min="10249" max="10496" width="11.42578125" style="90"/>
    <col min="10497" max="10497" width="1.7109375" style="90" customWidth="1"/>
    <col min="10498" max="10498" width="45.7109375" style="90" customWidth="1"/>
    <col min="10499" max="10500" width="16.42578125" style="90" bestFit="1" customWidth="1"/>
    <col min="10501" max="10501" width="3.42578125" style="90" customWidth="1"/>
    <col min="10502" max="10502" width="15.7109375" style="90" customWidth="1"/>
    <col min="10503" max="10503" width="45.7109375" style="90" customWidth="1"/>
    <col min="10504" max="10504" width="0" style="90" hidden="1" customWidth="1"/>
    <col min="10505" max="10752" width="11.42578125" style="90"/>
    <col min="10753" max="10753" width="1.7109375" style="90" customWidth="1"/>
    <col min="10754" max="10754" width="45.7109375" style="90" customWidth="1"/>
    <col min="10755" max="10756" width="16.42578125" style="90" bestFit="1" customWidth="1"/>
    <col min="10757" max="10757" width="3.42578125" style="90" customWidth="1"/>
    <col min="10758" max="10758" width="15.7109375" style="90" customWidth="1"/>
    <col min="10759" max="10759" width="45.7109375" style="90" customWidth="1"/>
    <col min="10760" max="10760" width="0" style="90" hidden="1" customWidth="1"/>
    <col min="10761" max="11008" width="11.42578125" style="90"/>
    <col min="11009" max="11009" width="1.7109375" style="90" customWidth="1"/>
    <col min="11010" max="11010" width="45.7109375" style="90" customWidth="1"/>
    <col min="11011" max="11012" width="16.42578125" style="90" bestFit="1" customWidth="1"/>
    <col min="11013" max="11013" width="3.42578125" style="90" customWidth="1"/>
    <col min="11014" max="11014" width="15.7109375" style="90" customWidth="1"/>
    <col min="11015" max="11015" width="45.7109375" style="90" customWidth="1"/>
    <col min="11016" max="11016" width="0" style="90" hidden="1" customWidth="1"/>
    <col min="11017" max="11264" width="11.42578125" style="90"/>
    <col min="11265" max="11265" width="1.7109375" style="90" customWidth="1"/>
    <col min="11266" max="11266" width="45.7109375" style="90" customWidth="1"/>
    <col min="11267" max="11268" width="16.42578125" style="90" bestFit="1" customWidth="1"/>
    <col min="11269" max="11269" width="3.42578125" style="90" customWidth="1"/>
    <col min="11270" max="11270" width="15.7109375" style="90" customWidth="1"/>
    <col min="11271" max="11271" width="45.7109375" style="90" customWidth="1"/>
    <col min="11272" max="11272" width="0" style="90" hidden="1" customWidth="1"/>
    <col min="11273" max="11520" width="11.42578125" style="90"/>
    <col min="11521" max="11521" width="1.7109375" style="90" customWidth="1"/>
    <col min="11522" max="11522" width="45.7109375" style="90" customWidth="1"/>
    <col min="11523" max="11524" width="16.42578125" style="90" bestFit="1" customWidth="1"/>
    <col min="11525" max="11525" width="3.42578125" style="90" customWidth="1"/>
    <col min="11526" max="11526" width="15.7109375" style="90" customWidth="1"/>
    <col min="11527" max="11527" width="45.7109375" style="90" customWidth="1"/>
    <col min="11528" max="11528" width="0" style="90" hidden="1" customWidth="1"/>
    <col min="11529" max="11776" width="11.42578125" style="90"/>
    <col min="11777" max="11777" width="1.7109375" style="90" customWidth="1"/>
    <col min="11778" max="11778" width="45.7109375" style="90" customWidth="1"/>
    <col min="11779" max="11780" width="16.42578125" style="90" bestFit="1" customWidth="1"/>
    <col min="11781" max="11781" width="3.42578125" style="90" customWidth="1"/>
    <col min="11782" max="11782" width="15.7109375" style="90" customWidth="1"/>
    <col min="11783" max="11783" width="45.7109375" style="90" customWidth="1"/>
    <col min="11784" max="11784" width="0" style="90" hidden="1" customWidth="1"/>
    <col min="11785" max="12032" width="11.42578125" style="90"/>
    <col min="12033" max="12033" width="1.7109375" style="90" customWidth="1"/>
    <col min="12034" max="12034" width="45.7109375" style="90" customWidth="1"/>
    <col min="12035" max="12036" width="16.42578125" style="90" bestFit="1" customWidth="1"/>
    <col min="12037" max="12037" width="3.42578125" style="90" customWidth="1"/>
    <col min="12038" max="12038" width="15.7109375" style="90" customWidth="1"/>
    <col min="12039" max="12039" width="45.7109375" style="90" customWidth="1"/>
    <col min="12040" max="12040" width="0" style="90" hidden="1" customWidth="1"/>
    <col min="12041" max="12288" width="11.42578125" style="90"/>
    <col min="12289" max="12289" width="1.7109375" style="90" customWidth="1"/>
    <col min="12290" max="12290" width="45.7109375" style="90" customWidth="1"/>
    <col min="12291" max="12292" width="16.42578125" style="90" bestFit="1" customWidth="1"/>
    <col min="12293" max="12293" width="3.42578125" style="90" customWidth="1"/>
    <col min="12294" max="12294" width="15.7109375" style="90" customWidth="1"/>
    <col min="12295" max="12295" width="45.7109375" style="90" customWidth="1"/>
    <col min="12296" max="12296" width="0" style="90" hidden="1" customWidth="1"/>
    <col min="12297" max="12544" width="11.42578125" style="90"/>
    <col min="12545" max="12545" width="1.7109375" style="90" customWidth="1"/>
    <col min="12546" max="12546" width="45.7109375" style="90" customWidth="1"/>
    <col min="12547" max="12548" width="16.42578125" style="90" bestFit="1" customWidth="1"/>
    <col min="12549" max="12549" width="3.42578125" style="90" customWidth="1"/>
    <col min="12550" max="12550" width="15.7109375" style="90" customWidth="1"/>
    <col min="12551" max="12551" width="45.7109375" style="90" customWidth="1"/>
    <col min="12552" max="12552" width="0" style="90" hidden="1" customWidth="1"/>
    <col min="12553" max="12800" width="11.42578125" style="90"/>
    <col min="12801" max="12801" width="1.7109375" style="90" customWidth="1"/>
    <col min="12802" max="12802" width="45.7109375" style="90" customWidth="1"/>
    <col min="12803" max="12804" width="16.42578125" style="90" bestFit="1" customWidth="1"/>
    <col min="12805" max="12805" width="3.42578125" style="90" customWidth="1"/>
    <col min="12806" max="12806" width="15.7109375" style="90" customWidth="1"/>
    <col min="12807" max="12807" width="45.7109375" style="90" customWidth="1"/>
    <col min="12808" max="12808" width="0" style="90" hidden="1" customWidth="1"/>
    <col min="12809" max="13056" width="11.42578125" style="90"/>
    <col min="13057" max="13057" width="1.7109375" style="90" customWidth="1"/>
    <col min="13058" max="13058" width="45.7109375" style="90" customWidth="1"/>
    <col min="13059" max="13060" width="16.42578125" style="90" bestFit="1" customWidth="1"/>
    <col min="13061" max="13061" width="3.42578125" style="90" customWidth="1"/>
    <col min="13062" max="13062" width="15.7109375" style="90" customWidth="1"/>
    <col min="13063" max="13063" width="45.7109375" style="90" customWidth="1"/>
    <col min="13064" max="13064" width="0" style="90" hidden="1" customWidth="1"/>
    <col min="13065" max="13312" width="11.42578125" style="90"/>
    <col min="13313" max="13313" width="1.7109375" style="90" customWidth="1"/>
    <col min="13314" max="13314" width="45.7109375" style="90" customWidth="1"/>
    <col min="13315" max="13316" width="16.42578125" style="90" bestFit="1" customWidth="1"/>
    <col min="13317" max="13317" width="3.42578125" style="90" customWidth="1"/>
    <col min="13318" max="13318" width="15.7109375" style="90" customWidth="1"/>
    <col min="13319" max="13319" width="45.7109375" style="90" customWidth="1"/>
    <col min="13320" max="13320" width="0" style="90" hidden="1" customWidth="1"/>
    <col min="13321" max="13568" width="11.42578125" style="90"/>
    <col min="13569" max="13569" width="1.7109375" style="90" customWidth="1"/>
    <col min="13570" max="13570" width="45.7109375" style="90" customWidth="1"/>
    <col min="13571" max="13572" width="16.42578125" style="90" bestFit="1" customWidth="1"/>
    <col min="13573" max="13573" width="3.42578125" style="90" customWidth="1"/>
    <col min="13574" max="13574" width="15.7109375" style="90" customWidth="1"/>
    <col min="13575" max="13575" width="45.7109375" style="90" customWidth="1"/>
    <col min="13576" max="13576" width="0" style="90" hidden="1" customWidth="1"/>
    <col min="13577" max="13824" width="11.42578125" style="90"/>
    <col min="13825" max="13825" width="1.7109375" style="90" customWidth="1"/>
    <col min="13826" max="13826" width="45.7109375" style="90" customWidth="1"/>
    <col min="13827" max="13828" width="16.42578125" style="90" bestFit="1" customWidth="1"/>
    <col min="13829" max="13829" width="3.42578125" style="90" customWidth="1"/>
    <col min="13830" max="13830" width="15.7109375" style="90" customWidth="1"/>
    <col min="13831" max="13831" width="45.7109375" style="90" customWidth="1"/>
    <col min="13832" max="13832" width="0" style="90" hidden="1" customWidth="1"/>
    <col min="13833" max="14080" width="11.42578125" style="90"/>
    <col min="14081" max="14081" width="1.7109375" style="90" customWidth="1"/>
    <col min="14082" max="14082" width="45.7109375" style="90" customWidth="1"/>
    <col min="14083" max="14084" width="16.42578125" style="90" bestFit="1" customWidth="1"/>
    <col min="14085" max="14085" width="3.42578125" style="90" customWidth="1"/>
    <col min="14086" max="14086" width="15.7109375" style="90" customWidth="1"/>
    <col min="14087" max="14087" width="45.7109375" style="90" customWidth="1"/>
    <col min="14088" max="14088" width="0" style="90" hidden="1" customWidth="1"/>
    <col min="14089" max="14336" width="11.42578125" style="90"/>
    <col min="14337" max="14337" width="1.7109375" style="90" customWidth="1"/>
    <col min="14338" max="14338" width="45.7109375" style="90" customWidth="1"/>
    <col min="14339" max="14340" width="16.42578125" style="90" bestFit="1" customWidth="1"/>
    <col min="14341" max="14341" width="3.42578125" style="90" customWidth="1"/>
    <col min="14342" max="14342" width="15.7109375" style="90" customWidth="1"/>
    <col min="14343" max="14343" width="45.7109375" style="90" customWidth="1"/>
    <col min="14344" max="14344" width="0" style="90" hidden="1" customWidth="1"/>
    <col min="14345" max="14592" width="11.42578125" style="90"/>
    <col min="14593" max="14593" width="1.7109375" style="90" customWidth="1"/>
    <col min="14594" max="14594" width="45.7109375" style="90" customWidth="1"/>
    <col min="14595" max="14596" width="16.42578125" style="90" bestFit="1" customWidth="1"/>
    <col min="14597" max="14597" width="3.42578125" style="90" customWidth="1"/>
    <col min="14598" max="14598" width="15.7109375" style="90" customWidth="1"/>
    <col min="14599" max="14599" width="45.7109375" style="90" customWidth="1"/>
    <col min="14600" max="14600" width="0" style="90" hidden="1" customWidth="1"/>
    <col min="14601" max="14848" width="11.42578125" style="90"/>
    <col min="14849" max="14849" width="1.7109375" style="90" customWidth="1"/>
    <col min="14850" max="14850" width="45.7109375" style="90" customWidth="1"/>
    <col min="14851" max="14852" width="16.42578125" style="90" bestFit="1" customWidth="1"/>
    <col min="14853" max="14853" width="3.42578125" style="90" customWidth="1"/>
    <col min="14854" max="14854" width="15.7109375" style="90" customWidth="1"/>
    <col min="14855" max="14855" width="45.7109375" style="90" customWidth="1"/>
    <col min="14856" max="14856" width="0" style="90" hidden="1" customWidth="1"/>
    <col min="14857" max="15104" width="11.42578125" style="90"/>
    <col min="15105" max="15105" width="1.7109375" style="90" customWidth="1"/>
    <col min="15106" max="15106" width="45.7109375" style="90" customWidth="1"/>
    <col min="15107" max="15108" width="16.42578125" style="90" bestFit="1" customWidth="1"/>
    <col min="15109" max="15109" width="3.42578125" style="90" customWidth="1"/>
    <col min="15110" max="15110" width="15.7109375" style="90" customWidth="1"/>
    <col min="15111" max="15111" width="45.7109375" style="90" customWidth="1"/>
    <col min="15112" max="15112" width="0" style="90" hidden="1" customWidth="1"/>
    <col min="15113" max="15360" width="11.42578125" style="90"/>
    <col min="15361" max="15361" width="1.7109375" style="90" customWidth="1"/>
    <col min="15362" max="15362" width="45.7109375" style="90" customWidth="1"/>
    <col min="15363" max="15364" width="16.42578125" style="90" bestFit="1" customWidth="1"/>
    <col min="15365" max="15365" width="3.42578125" style="90" customWidth="1"/>
    <col min="15366" max="15366" width="15.7109375" style="90" customWidth="1"/>
    <col min="15367" max="15367" width="45.7109375" style="90" customWidth="1"/>
    <col min="15368" max="15368" width="0" style="90" hidden="1" customWidth="1"/>
    <col min="15369" max="15616" width="11.42578125" style="90"/>
    <col min="15617" max="15617" width="1.7109375" style="90" customWidth="1"/>
    <col min="15618" max="15618" width="45.7109375" style="90" customWidth="1"/>
    <col min="15619" max="15620" width="16.42578125" style="90" bestFit="1" customWidth="1"/>
    <col min="15621" max="15621" width="3.42578125" style="90" customWidth="1"/>
    <col min="15622" max="15622" width="15.7109375" style="90" customWidth="1"/>
    <col min="15623" max="15623" width="45.7109375" style="90" customWidth="1"/>
    <col min="15624" max="15624" width="0" style="90" hidden="1" customWidth="1"/>
    <col min="15625" max="15872" width="11.42578125" style="90"/>
    <col min="15873" max="15873" width="1.7109375" style="90" customWidth="1"/>
    <col min="15874" max="15874" width="45.7109375" style="90" customWidth="1"/>
    <col min="15875" max="15876" width="16.42578125" style="90" bestFit="1" customWidth="1"/>
    <col min="15877" max="15877" width="3.42578125" style="90" customWidth="1"/>
    <col min="15878" max="15878" width="15.7109375" style="90" customWidth="1"/>
    <col min="15879" max="15879" width="45.7109375" style="90" customWidth="1"/>
    <col min="15880" max="15880" width="0" style="90" hidden="1" customWidth="1"/>
    <col min="15881" max="16128" width="11.42578125" style="90"/>
    <col min="16129" max="16129" width="1.7109375" style="90" customWidth="1"/>
    <col min="16130" max="16130" width="45.7109375" style="90" customWidth="1"/>
    <col min="16131" max="16132" width="16.42578125" style="90" bestFit="1" customWidth="1"/>
    <col min="16133" max="16133" width="3.42578125" style="90" customWidth="1"/>
    <col min="16134" max="16134" width="15.7109375" style="90" customWidth="1"/>
    <col min="16135" max="16135" width="45.7109375" style="90" customWidth="1"/>
    <col min="16136" max="16136" width="0" style="90" hidden="1" customWidth="1"/>
    <col min="16137" max="16384" width="11.42578125" style="90"/>
  </cols>
  <sheetData>
    <row r="1" spans="1:9" s="123" customFormat="1" ht="18" x14ac:dyDescent="0.25">
      <c r="A1" s="119"/>
      <c r="B1" s="120" t="s">
        <v>121</v>
      </c>
      <c r="C1" s="121"/>
      <c r="D1" s="121"/>
      <c r="E1" s="121"/>
      <c r="F1" s="122"/>
      <c r="G1" s="121"/>
    </row>
    <row r="2" spans="1:9" s="123" customFormat="1" ht="18" x14ac:dyDescent="0.25">
      <c r="A2" s="119"/>
      <c r="B2" s="120" t="s">
        <v>314</v>
      </c>
      <c r="C2" s="124"/>
      <c r="D2" s="124"/>
      <c r="E2" s="124"/>
      <c r="F2" s="125"/>
      <c r="G2" s="124"/>
    </row>
    <row r="3" spans="1:9" ht="18" x14ac:dyDescent="0.25">
      <c r="A3" s="126"/>
      <c r="B3" s="127"/>
      <c r="F3" s="128"/>
    </row>
    <row r="4" spans="1:9" x14ac:dyDescent="0.25">
      <c r="A4" s="126"/>
      <c r="B4" s="482" t="s">
        <v>0</v>
      </c>
      <c r="C4" s="482"/>
      <c r="D4" s="482"/>
      <c r="E4" s="482"/>
      <c r="F4" s="482"/>
      <c r="G4" s="482"/>
    </row>
    <row r="5" spans="1:9" ht="23.25" x14ac:dyDescent="0.25">
      <c r="A5" s="126"/>
      <c r="B5" s="129"/>
      <c r="C5" s="129"/>
      <c r="D5" s="129"/>
      <c r="E5" s="129"/>
      <c r="F5" s="130"/>
      <c r="G5" s="129"/>
    </row>
    <row r="6" spans="1:9" x14ac:dyDescent="0.25">
      <c r="A6" s="126"/>
      <c r="B6" s="131" t="s">
        <v>122</v>
      </c>
      <c r="C6" s="132"/>
      <c r="D6" s="132"/>
      <c r="E6" s="132"/>
      <c r="F6" s="133"/>
      <c r="G6" s="134"/>
    </row>
    <row r="7" spans="1:9" ht="18" x14ac:dyDescent="0.25">
      <c r="A7" s="126"/>
      <c r="B7" s="135"/>
      <c r="C7" s="134"/>
      <c r="D7" s="134"/>
      <c r="E7" s="134"/>
      <c r="F7" s="136"/>
      <c r="G7" s="134"/>
    </row>
    <row r="8" spans="1:9" x14ac:dyDescent="0.25">
      <c r="A8" s="126"/>
      <c r="B8" s="483" t="s">
        <v>123</v>
      </c>
      <c r="C8" s="483"/>
      <c r="D8" s="483"/>
      <c r="E8" s="137"/>
      <c r="F8" s="484" t="s">
        <v>124</v>
      </c>
      <c r="G8" s="485"/>
    </row>
    <row r="9" spans="1:9" x14ac:dyDescent="0.25">
      <c r="A9" s="126"/>
      <c r="B9" s="138"/>
      <c r="C9" s="486" t="s">
        <v>3</v>
      </c>
      <c r="D9" s="486"/>
      <c r="E9" s="137"/>
      <c r="F9" s="139" t="s">
        <v>3</v>
      </c>
      <c r="G9" s="140"/>
    </row>
    <row r="10" spans="1:9" x14ac:dyDescent="0.25">
      <c r="A10" s="126"/>
      <c r="B10" s="141"/>
      <c r="C10" s="142" t="s">
        <v>51</v>
      </c>
      <c r="D10" s="142" t="s">
        <v>52</v>
      </c>
      <c r="E10" s="143"/>
      <c r="F10" s="144"/>
      <c r="G10" s="140"/>
      <c r="H10" s="145"/>
      <c r="I10" s="145"/>
    </row>
    <row r="11" spans="1:9" x14ac:dyDescent="0.25">
      <c r="A11" s="126"/>
      <c r="B11" s="146" t="s">
        <v>5</v>
      </c>
      <c r="C11" s="147">
        <f>+'tableau 3'!C9</f>
        <v>1172099</v>
      </c>
      <c r="D11" s="147">
        <f>+'tableau 3'!D9</f>
        <v>1172099</v>
      </c>
      <c r="E11" s="134"/>
      <c r="F11" s="148"/>
      <c r="G11" s="149" t="s">
        <v>84</v>
      </c>
    </row>
    <row r="12" spans="1:9" x14ac:dyDescent="0.3">
      <c r="A12" s="126"/>
      <c r="B12" s="18" t="s">
        <v>125</v>
      </c>
      <c r="C12" s="150"/>
      <c r="D12" s="150">
        <f>C12</f>
        <v>0</v>
      </c>
      <c r="E12" s="134"/>
      <c r="F12" s="150">
        <f>'tableau 3'!C52</f>
        <v>0</v>
      </c>
      <c r="G12" s="151" t="s">
        <v>86</v>
      </c>
      <c r="H12" s="152" t="s">
        <v>126</v>
      </c>
    </row>
    <row r="13" spans="1:9" x14ac:dyDescent="0.3">
      <c r="A13" s="126"/>
      <c r="B13" s="140"/>
      <c r="C13" s="150"/>
      <c r="D13" s="150"/>
      <c r="E13" s="134"/>
      <c r="F13" s="150">
        <f>'tableau 3'!D52</f>
        <v>1280000</v>
      </c>
      <c r="G13" s="151" t="s">
        <v>87</v>
      </c>
      <c r="H13" s="152" t="s">
        <v>127</v>
      </c>
    </row>
    <row r="14" spans="1:9" x14ac:dyDescent="0.3">
      <c r="A14" s="126"/>
      <c r="B14" s="153"/>
      <c r="C14" s="147"/>
      <c r="D14" s="147"/>
      <c r="E14" s="134"/>
      <c r="F14" s="150">
        <f>'[1]tableau 2'!F14+'[2]tableau 2'!F14+'[3]tableau 2'!F14+'[4]tableau 2'!F14</f>
        <v>0</v>
      </c>
      <c r="G14" s="151" t="s">
        <v>8</v>
      </c>
      <c r="H14" s="152" t="s">
        <v>128</v>
      </c>
    </row>
    <row r="15" spans="1:9" x14ac:dyDescent="0.3">
      <c r="A15" s="126"/>
      <c r="B15" s="146" t="s">
        <v>70</v>
      </c>
      <c r="C15" s="147">
        <f>'tableau 3'!E29</f>
        <v>81220359</v>
      </c>
      <c r="D15" s="147">
        <f>'tableau 3'!F29</f>
        <v>9495680</v>
      </c>
      <c r="E15" s="134"/>
      <c r="F15" s="150">
        <f>'tableau 3'!F52</f>
        <v>2758808</v>
      </c>
      <c r="G15" s="151" t="s">
        <v>88</v>
      </c>
      <c r="H15" s="152" t="s">
        <v>129</v>
      </c>
    </row>
    <row r="16" spans="1:9" x14ac:dyDescent="0.25">
      <c r="A16" s="126"/>
      <c r="B16" s="140"/>
      <c r="C16" s="147"/>
      <c r="D16" s="147"/>
      <c r="E16" s="134"/>
      <c r="F16" s="150">
        <f>'tableau 3'!G52</f>
        <v>3369161</v>
      </c>
      <c r="G16" s="151" t="s">
        <v>89</v>
      </c>
      <c r="H16" s="154" t="s">
        <v>130</v>
      </c>
      <c r="I16" s="126"/>
    </row>
    <row r="17" spans="1:11" x14ac:dyDescent="0.25">
      <c r="A17" s="126"/>
      <c r="B17" s="140"/>
      <c r="C17" s="150"/>
      <c r="D17" s="150"/>
      <c r="E17" s="134"/>
      <c r="F17" s="150"/>
      <c r="G17" s="151"/>
      <c r="H17" s="126"/>
      <c r="I17" s="126"/>
    </row>
    <row r="18" spans="1:11" x14ac:dyDescent="0.25">
      <c r="A18" s="126"/>
      <c r="B18" s="140"/>
      <c r="C18" s="155"/>
      <c r="D18" s="155"/>
      <c r="E18" s="134"/>
      <c r="F18" s="156"/>
      <c r="G18" s="149" t="s">
        <v>131</v>
      </c>
      <c r="H18" s="126"/>
      <c r="I18" s="126"/>
    </row>
    <row r="19" spans="1:11" x14ac:dyDescent="0.25">
      <c r="A19" s="126"/>
      <c r="B19" s="140"/>
      <c r="C19" s="156"/>
      <c r="D19" s="156"/>
      <c r="E19" s="134"/>
      <c r="F19" s="147">
        <f>'tableau 3'!H52</f>
        <v>6324825</v>
      </c>
      <c r="G19" s="157" t="s">
        <v>132</v>
      </c>
      <c r="H19" s="126"/>
      <c r="I19" s="126"/>
    </row>
    <row r="20" spans="1:11" x14ac:dyDescent="0.25">
      <c r="A20" s="126"/>
      <c r="B20" s="146" t="s">
        <v>50</v>
      </c>
      <c r="C20" s="155">
        <f>'tableau 3'!G9</f>
        <v>62231552</v>
      </c>
      <c r="D20" s="155">
        <f>'tableau 3'!H9</f>
        <v>8711648</v>
      </c>
      <c r="E20" s="134"/>
      <c r="F20" s="147">
        <f>'tableau 3'!I52</f>
        <v>3099626</v>
      </c>
      <c r="G20" s="157" t="s">
        <v>91</v>
      </c>
      <c r="H20" s="126"/>
      <c r="I20" s="126"/>
      <c r="J20" s="126"/>
    </row>
    <row r="21" spans="1:11" x14ac:dyDescent="0.25">
      <c r="A21" s="126"/>
      <c r="B21" s="140"/>
      <c r="C21" s="155"/>
      <c r="D21" s="155"/>
      <c r="E21" s="134"/>
      <c r="F21" s="147">
        <f>'[1]tableau 2'!F21+'[2]tableau 2'!F21+'[3]tableau 2'!F21+'[4]tableau 2'!F21</f>
        <v>0</v>
      </c>
      <c r="G21" s="157" t="s">
        <v>92</v>
      </c>
      <c r="H21" s="126"/>
      <c r="I21" s="126"/>
      <c r="J21" s="126"/>
    </row>
    <row r="22" spans="1:11" x14ac:dyDescent="0.25">
      <c r="A22" s="126"/>
      <c r="B22" s="153"/>
      <c r="C22" s="156"/>
      <c r="D22" s="156"/>
      <c r="E22" s="134"/>
      <c r="F22" s="156"/>
      <c r="H22" s="126"/>
      <c r="I22" s="126"/>
      <c r="J22" s="253"/>
      <c r="K22" s="252"/>
    </row>
    <row r="23" spans="1:11" x14ac:dyDescent="0.25">
      <c r="A23" s="126"/>
      <c r="B23" s="158"/>
      <c r="C23" s="155"/>
      <c r="D23" s="155"/>
      <c r="E23" s="134"/>
      <c r="F23" s="156"/>
      <c r="G23" s="157"/>
      <c r="H23" s="126"/>
      <c r="I23" s="126"/>
      <c r="J23" s="126"/>
    </row>
    <row r="24" spans="1:11" x14ac:dyDescent="0.25">
      <c r="A24" s="126"/>
      <c r="B24" s="153"/>
      <c r="C24" s="155"/>
      <c r="D24" s="155"/>
      <c r="E24" s="134"/>
      <c r="F24" s="156"/>
      <c r="G24" s="157"/>
      <c r="H24" s="126"/>
      <c r="I24" s="126"/>
      <c r="J24" s="126"/>
    </row>
    <row r="25" spans="1:11" x14ac:dyDescent="0.25">
      <c r="A25" s="126"/>
      <c r="B25" s="159" t="s">
        <v>133</v>
      </c>
      <c r="C25" s="160">
        <f>SUM(C11,C15,C20)</f>
        <v>144624010</v>
      </c>
      <c r="D25" s="160">
        <f>SUM(D11,D15,D20)</f>
        <v>19379427</v>
      </c>
      <c r="E25" s="161"/>
      <c r="F25" s="162">
        <f>SUM(F11:F24)</f>
        <v>16832420</v>
      </c>
      <c r="G25" s="163" t="s">
        <v>134</v>
      </c>
      <c r="H25" s="126"/>
      <c r="I25" s="126"/>
      <c r="J25" s="126"/>
    </row>
    <row r="26" spans="1:11" x14ac:dyDescent="0.25">
      <c r="A26" s="126"/>
      <c r="B26" s="164"/>
      <c r="C26" s="165"/>
      <c r="D26" s="165"/>
      <c r="E26" s="137"/>
      <c r="F26" s="166"/>
      <c r="G26" s="167"/>
      <c r="H26" s="126"/>
      <c r="I26" s="126"/>
      <c r="J26" s="126"/>
    </row>
    <row r="27" spans="1:11" x14ac:dyDescent="0.25">
      <c r="A27" s="126"/>
      <c r="B27" s="487" t="s">
        <v>135</v>
      </c>
      <c r="C27" s="488"/>
      <c r="D27" s="160" t="str">
        <f>IF((F25-D25)&gt;0,F25-D25," ")</f>
        <v xml:space="preserve"> </v>
      </c>
      <c r="E27" s="168"/>
      <c r="F27" s="162">
        <f>IF((D25-F25)&gt;0,D25-F25," ")</f>
        <v>2547007</v>
      </c>
      <c r="G27" s="163" t="s">
        <v>136</v>
      </c>
      <c r="H27" s="126"/>
      <c r="I27" s="126"/>
      <c r="J27" s="126"/>
    </row>
    <row r="28" spans="1:11" x14ac:dyDescent="0.25">
      <c r="A28" s="126"/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1" x14ac:dyDescent="0.25">
      <c r="A29" s="126"/>
      <c r="B29" s="169" t="s">
        <v>137</v>
      </c>
      <c r="H29" s="126"/>
      <c r="I29" s="126"/>
      <c r="J29" s="126"/>
    </row>
    <row r="30" spans="1:11" x14ac:dyDescent="0.3">
      <c r="A30" s="126"/>
      <c r="B30" s="170" t="s">
        <v>138</v>
      </c>
      <c r="H30" s="126"/>
      <c r="I30" s="126"/>
      <c r="J30" s="126"/>
    </row>
    <row r="31" spans="1:11" x14ac:dyDescent="0.25">
      <c r="A31" s="126"/>
      <c r="B31" s="126"/>
      <c r="C31" s="126"/>
      <c r="D31" s="126"/>
      <c r="E31" s="126"/>
      <c r="F31" s="253"/>
      <c r="G31" s="126"/>
      <c r="H31" s="126"/>
      <c r="I31" s="126"/>
      <c r="J31" s="126"/>
    </row>
    <row r="32" spans="1:1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</row>
    <row r="33" spans="1:10" x14ac:dyDescent="0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</row>
    <row r="34" spans="1:10" x14ac:dyDescent="0.25">
      <c r="A34" s="126"/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 x14ac:dyDescent="0.25">
      <c r="A35" s="126"/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10" x14ac:dyDescent="0.25">
      <c r="A36" s="126"/>
      <c r="B36" s="126"/>
      <c r="C36" s="126"/>
      <c r="D36" s="126"/>
      <c r="E36" s="126"/>
      <c r="F36" s="126"/>
      <c r="G36" s="126"/>
      <c r="H36" s="126"/>
      <c r="I36" s="126"/>
      <c r="J36" s="126"/>
    </row>
    <row r="37" spans="1:10" x14ac:dyDescent="0.25">
      <c r="A37" s="126"/>
      <c r="B37" s="126"/>
      <c r="C37" s="126"/>
      <c r="D37" s="126"/>
      <c r="E37" s="126"/>
      <c r="F37" s="126"/>
      <c r="G37" s="126"/>
      <c r="H37" s="126"/>
      <c r="I37" s="126"/>
      <c r="J37" s="126"/>
    </row>
    <row r="38" spans="1:10" x14ac:dyDescent="0.25">
      <c r="A38" s="126"/>
      <c r="B38" s="126"/>
      <c r="C38" s="126"/>
      <c r="D38" s="126"/>
      <c r="E38" s="126"/>
      <c r="F38" s="126"/>
      <c r="G38" s="126"/>
      <c r="H38" s="126"/>
      <c r="I38" s="126"/>
      <c r="J38" s="126"/>
    </row>
  </sheetData>
  <mergeCells count="5">
    <mergeCell ref="B4:G4"/>
    <mergeCell ref="B8:D8"/>
    <mergeCell ref="F8:G8"/>
    <mergeCell ref="C9:D9"/>
    <mergeCell ref="B27:C27"/>
  </mergeCell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opLeftCell="A37" zoomScale="80" zoomScaleNormal="80" workbookViewId="0">
      <selection activeCell="K54" sqref="K54"/>
    </sheetView>
  </sheetViews>
  <sheetFormatPr baseColWidth="10" defaultRowHeight="15" x14ac:dyDescent="0.25"/>
  <cols>
    <col min="1" max="1" width="2" style="10" customWidth="1"/>
    <col min="2" max="2" width="65.7109375" style="10" customWidth="1"/>
    <col min="3" max="11" width="14.42578125" style="10" customWidth="1"/>
    <col min="12" max="12" width="40.28515625" style="10" hidden="1" customWidth="1"/>
    <col min="13" max="13" width="11.42578125" style="10"/>
    <col min="14" max="14" width="11.7109375" style="10" bestFit="1" customWidth="1"/>
    <col min="15" max="256" width="11.42578125" style="10"/>
    <col min="257" max="257" width="2" style="10" customWidth="1"/>
    <col min="258" max="258" width="65.7109375" style="10" customWidth="1"/>
    <col min="259" max="267" width="14.42578125" style="10" customWidth="1"/>
    <col min="268" max="268" width="0" style="10" hidden="1" customWidth="1"/>
    <col min="269" max="269" width="11.42578125" style="10"/>
    <col min="270" max="270" width="11.7109375" style="10" bestFit="1" customWidth="1"/>
    <col min="271" max="512" width="11.42578125" style="10"/>
    <col min="513" max="513" width="2" style="10" customWidth="1"/>
    <col min="514" max="514" width="65.7109375" style="10" customWidth="1"/>
    <col min="515" max="523" width="14.42578125" style="10" customWidth="1"/>
    <col min="524" max="524" width="0" style="10" hidden="1" customWidth="1"/>
    <col min="525" max="525" width="11.42578125" style="10"/>
    <col min="526" max="526" width="11.7109375" style="10" bestFit="1" customWidth="1"/>
    <col min="527" max="768" width="11.42578125" style="10"/>
    <col min="769" max="769" width="2" style="10" customWidth="1"/>
    <col min="770" max="770" width="65.7109375" style="10" customWidth="1"/>
    <col min="771" max="779" width="14.42578125" style="10" customWidth="1"/>
    <col min="780" max="780" width="0" style="10" hidden="1" customWidth="1"/>
    <col min="781" max="781" width="11.42578125" style="10"/>
    <col min="782" max="782" width="11.7109375" style="10" bestFit="1" customWidth="1"/>
    <col min="783" max="1024" width="11.42578125" style="10"/>
    <col min="1025" max="1025" width="2" style="10" customWidth="1"/>
    <col min="1026" max="1026" width="65.7109375" style="10" customWidth="1"/>
    <col min="1027" max="1035" width="14.42578125" style="10" customWidth="1"/>
    <col min="1036" max="1036" width="0" style="10" hidden="1" customWidth="1"/>
    <col min="1037" max="1037" width="11.42578125" style="10"/>
    <col min="1038" max="1038" width="11.7109375" style="10" bestFit="1" customWidth="1"/>
    <col min="1039" max="1280" width="11.42578125" style="10"/>
    <col min="1281" max="1281" width="2" style="10" customWidth="1"/>
    <col min="1282" max="1282" width="65.7109375" style="10" customWidth="1"/>
    <col min="1283" max="1291" width="14.42578125" style="10" customWidth="1"/>
    <col min="1292" max="1292" width="0" style="10" hidden="1" customWidth="1"/>
    <col min="1293" max="1293" width="11.42578125" style="10"/>
    <col min="1294" max="1294" width="11.7109375" style="10" bestFit="1" customWidth="1"/>
    <col min="1295" max="1536" width="11.42578125" style="10"/>
    <col min="1537" max="1537" width="2" style="10" customWidth="1"/>
    <col min="1538" max="1538" width="65.7109375" style="10" customWidth="1"/>
    <col min="1539" max="1547" width="14.42578125" style="10" customWidth="1"/>
    <col min="1548" max="1548" width="0" style="10" hidden="1" customWidth="1"/>
    <col min="1549" max="1549" width="11.42578125" style="10"/>
    <col min="1550" max="1550" width="11.7109375" style="10" bestFit="1" customWidth="1"/>
    <col min="1551" max="1792" width="11.42578125" style="10"/>
    <col min="1793" max="1793" width="2" style="10" customWidth="1"/>
    <col min="1794" max="1794" width="65.7109375" style="10" customWidth="1"/>
    <col min="1795" max="1803" width="14.42578125" style="10" customWidth="1"/>
    <col min="1804" max="1804" width="0" style="10" hidden="1" customWidth="1"/>
    <col min="1805" max="1805" width="11.42578125" style="10"/>
    <col min="1806" max="1806" width="11.7109375" style="10" bestFit="1" customWidth="1"/>
    <col min="1807" max="2048" width="11.42578125" style="10"/>
    <col min="2049" max="2049" width="2" style="10" customWidth="1"/>
    <col min="2050" max="2050" width="65.7109375" style="10" customWidth="1"/>
    <col min="2051" max="2059" width="14.42578125" style="10" customWidth="1"/>
    <col min="2060" max="2060" width="0" style="10" hidden="1" customWidth="1"/>
    <col min="2061" max="2061" width="11.42578125" style="10"/>
    <col min="2062" max="2062" width="11.7109375" style="10" bestFit="1" customWidth="1"/>
    <col min="2063" max="2304" width="11.42578125" style="10"/>
    <col min="2305" max="2305" width="2" style="10" customWidth="1"/>
    <col min="2306" max="2306" width="65.7109375" style="10" customWidth="1"/>
    <col min="2307" max="2315" width="14.42578125" style="10" customWidth="1"/>
    <col min="2316" max="2316" width="0" style="10" hidden="1" customWidth="1"/>
    <col min="2317" max="2317" width="11.42578125" style="10"/>
    <col min="2318" max="2318" width="11.7109375" style="10" bestFit="1" customWidth="1"/>
    <col min="2319" max="2560" width="11.42578125" style="10"/>
    <col min="2561" max="2561" width="2" style="10" customWidth="1"/>
    <col min="2562" max="2562" width="65.7109375" style="10" customWidth="1"/>
    <col min="2563" max="2571" width="14.42578125" style="10" customWidth="1"/>
    <col min="2572" max="2572" width="0" style="10" hidden="1" customWidth="1"/>
    <col min="2573" max="2573" width="11.42578125" style="10"/>
    <col min="2574" max="2574" width="11.7109375" style="10" bestFit="1" customWidth="1"/>
    <col min="2575" max="2816" width="11.42578125" style="10"/>
    <col min="2817" max="2817" width="2" style="10" customWidth="1"/>
    <col min="2818" max="2818" width="65.7109375" style="10" customWidth="1"/>
    <col min="2819" max="2827" width="14.42578125" style="10" customWidth="1"/>
    <col min="2828" max="2828" width="0" style="10" hidden="1" customWidth="1"/>
    <col min="2829" max="2829" width="11.42578125" style="10"/>
    <col min="2830" max="2830" width="11.7109375" style="10" bestFit="1" customWidth="1"/>
    <col min="2831" max="3072" width="11.42578125" style="10"/>
    <col min="3073" max="3073" width="2" style="10" customWidth="1"/>
    <col min="3074" max="3074" width="65.7109375" style="10" customWidth="1"/>
    <col min="3075" max="3083" width="14.42578125" style="10" customWidth="1"/>
    <col min="3084" max="3084" width="0" style="10" hidden="1" customWidth="1"/>
    <col min="3085" max="3085" width="11.42578125" style="10"/>
    <col min="3086" max="3086" width="11.7109375" style="10" bestFit="1" customWidth="1"/>
    <col min="3087" max="3328" width="11.42578125" style="10"/>
    <col min="3329" max="3329" width="2" style="10" customWidth="1"/>
    <col min="3330" max="3330" width="65.7109375" style="10" customWidth="1"/>
    <col min="3331" max="3339" width="14.42578125" style="10" customWidth="1"/>
    <col min="3340" max="3340" width="0" style="10" hidden="1" customWidth="1"/>
    <col min="3341" max="3341" width="11.42578125" style="10"/>
    <col min="3342" max="3342" width="11.7109375" style="10" bestFit="1" customWidth="1"/>
    <col min="3343" max="3584" width="11.42578125" style="10"/>
    <col min="3585" max="3585" width="2" style="10" customWidth="1"/>
    <col min="3586" max="3586" width="65.7109375" style="10" customWidth="1"/>
    <col min="3587" max="3595" width="14.42578125" style="10" customWidth="1"/>
    <col min="3596" max="3596" width="0" style="10" hidden="1" customWidth="1"/>
    <col min="3597" max="3597" width="11.42578125" style="10"/>
    <col min="3598" max="3598" width="11.7109375" style="10" bestFit="1" customWidth="1"/>
    <col min="3599" max="3840" width="11.42578125" style="10"/>
    <col min="3841" max="3841" width="2" style="10" customWidth="1"/>
    <col min="3842" max="3842" width="65.7109375" style="10" customWidth="1"/>
    <col min="3843" max="3851" width="14.42578125" style="10" customWidth="1"/>
    <col min="3852" max="3852" width="0" style="10" hidden="1" customWidth="1"/>
    <col min="3853" max="3853" width="11.42578125" style="10"/>
    <col min="3854" max="3854" width="11.7109375" style="10" bestFit="1" customWidth="1"/>
    <col min="3855" max="4096" width="11.42578125" style="10"/>
    <col min="4097" max="4097" width="2" style="10" customWidth="1"/>
    <col min="4098" max="4098" width="65.7109375" style="10" customWidth="1"/>
    <col min="4099" max="4107" width="14.42578125" style="10" customWidth="1"/>
    <col min="4108" max="4108" width="0" style="10" hidden="1" customWidth="1"/>
    <col min="4109" max="4109" width="11.42578125" style="10"/>
    <col min="4110" max="4110" width="11.7109375" style="10" bestFit="1" customWidth="1"/>
    <col min="4111" max="4352" width="11.42578125" style="10"/>
    <col min="4353" max="4353" width="2" style="10" customWidth="1"/>
    <col min="4354" max="4354" width="65.7109375" style="10" customWidth="1"/>
    <col min="4355" max="4363" width="14.42578125" style="10" customWidth="1"/>
    <col min="4364" max="4364" width="0" style="10" hidden="1" customWidth="1"/>
    <col min="4365" max="4365" width="11.42578125" style="10"/>
    <col min="4366" max="4366" width="11.7109375" style="10" bestFit="1" customWidth="1"/>
    <col min="4367" max="4608" width="11.42578125" style="10"/>
    <col min="4609" max="4609" width="2" style="10" customWidth="1"/>
    <col min="4610" max="4610" width="65.7109375" style="10" customWidth="1"/>
    <col min="4611" max="4619" width="14.42578125" style="10" customWidth="1"/>
    <col min="4620" max="4620" width="0" style="10" hidden="1" customWidth="1"/>
    <col min="4621" max="4621" width="11.42578125" style="10"/>
    <col min="4622" max="4622" width="11.7109375" style="10" bestFit="1" customWidth="1"/>
    <col min="4623" max="4864" width="11.42578125" style="10"/>
    <col min="4865" max="4865" width="2" style="10" customWidth="1"/>
    <col min="4866" max="4866" width="65.7109375" style="10" customWidth="1"/>
    <col min="4867" max="4875" width="14.42578125" style="10" customWidth="1"/>
    <col min="4876" max="4876" width="0" style="10" hidden="1" customWidth="1"/>
    <col min="4877" max="4877" width="11.42578125" style="10"/>
    <col min="4878" max="4878" width="11.7109375" style="10" bestFit="1" customWidth="1"/>
    <col min="4879" max="5120" width="11.42578125" style="10"/>
    <col min="5121" max="5121" width="2" style="10" customWidth="1"/>
    <col min="5122" max="5122" width="65.7109375" style="10" customWidth="1"/>
    <col min="5123" max="5131" width="14.42578125" style="10" customWidth="1"/>
    <col min="5132" max="5132" width="0" style="10" hidden="1" customWidth="1"/>
    <col min="5133" max="5133" width="11.42578125" style="10"/>
    <col min="5134" max="5134" width="11.7109375" style="10" bestFit="1" customWidth="1"/>
    <col min="5135" max="5376" width="11.42578125" style="10"/>
    <col min="5377" max="5377" width="2" style="10" customWidth="1"/>
    <col min="5378" max="5378" width="65.7109375" style="10" customWidth="1"/>
    <col min="5379" max="5387" width="14.42578125" style="10" customWidth="1"/>
    <col min="5388" max="5388" width="0" style="10" hidden="1" customWidth="1"/>
    <col min="5389" max="5389" width="11.42578125" style="10"/>
    <col min="5390" max="5390" width="11.7109375" style="10" bestFit="1" customWidth="1"/>
    <col min="5391" max="5632" width="11.42578125" style="10"/>
    <col min="5633" max="5633" width="2" style="10" customWidth="1"/>
    <col min="5634" max="5634" width="65.7109375" style="10" customWidth="1"/>
    <col min="5635" max="5643" width="14.42578125" style="10" customWidth="1"/>
    <col min="5644" max="5644" width="0" style="10" hidden="1" customWidth="1"/>
    <col min="5645" max="5645" width="11.42578125" style="10"/>
    <col min="5646" max="5646" width="11.7109375" style="10" bestFit="1" customWidth="1"/>
    <col min="5647" max="5888" width="11.42578125" style="10"/>
    <col min="5889" max="5889" width="2" style="10" customWidth="1"/>
    <col min="5890" max="5890" width="65.7109375" style="10" customWidth="1"/>
    <col min="5891" max="5899" width="14.42578125" style="10" customWidth="1"/>
    <col min="5900" max="5900" width="0" style="10" hidden="1" customWidth="1"/>
    <col min="5901" max="5901" width="11.42578125" style="10"/>
    <col min="5902" max="5902" width="11.7109375" style="10" bestFit="1" customWidth="1"/>
    <col min="5903" max="6144" width="11.42578125" style="10"/>
    <col min="6145" max="6145" width="2" style="10" customWidth="1"/>
    <col min="6146" max="6146" width="65.7109375" style="10" customWidth="1"/>
    <col min="6147" max="6155" width="14.42578125" style="10" customWidth="1"/>
    <col min="6156" max="6156" width="0" style="10" hidden="1" customWidth="1"/>
    <col min="6157" max="6157" width="11.42578125" style="10"/>
    <col min="6158" max="6158" width="11.7109375" style="10" bestFit="1" customWidth="1"/>
    <col min="6159" max="6400" width="11.42578125" style="10"/>
    <col min="6401" max="6401" width="2" style="10" customWidth="1"/>
    <col min="6402" max="6402" width="65.7109375" style="10" customWidth="1"/>
    <col min="6403" max="6411" width="14.42578125" style="10" customWidth="1"/>
    <col min="6412" max="6412" width="0" style="10" hidden="1" customWidth="1"/>
    <col min="6413" max="6413" width="11.42578125" style="10"/>
    <col min="6414" max="6414" width="11.7109375" style="10" bestFit="1" customWidth="1"/>
    <col min="6415" max="6656" width="11.42578125" style="10"/>
    <col min="6657" max="6657" width="2" style="10" customWidth="1"/>
    <col min="6658" max="6658" width="65.7109375" style="10" customWidth="1"/>
    <col min="6659" max="6667" width="14.42578125" style="10" customWidth="1"/>
    <col min="6668" max="6668" width="0" style="10" hidden="1" customWidth="1"/>
    <col min="6669" max="6669" width="11.42578125" style="10"/>
    <col min="6670" max="6670" width="11.7109375" style="10" bestFit="1" customWidth="1"/>
    <col min="6671" max="6912" width="11.42578125" style="10"/>
    <col min="6913" max="6913" width="2" style="10" customWidth="1"/>
    <col min="6914" max="6914" width="65.7109375" style="10" customWidth="1"/>
    <col min="6915" max="6923" width="14.42578125" style="10" customWidth="1"/>
    <col min="6924" max="6924" width="0" style="10" hidden="1" customWidth="1"/>
    <col min="6925" max="6925" width="11.42578125" style="10"/>
    <col min="6926" max="6926" width="11.7109375" style="10" bestFit="1" customWidth="1"/>
    <col min="6927" max="7168" width="11.42578125" style="10"/>
    <col min="7169" max="7169" width="2" style="10" customWidth="1"/>
    <col min="7170" max="7170" width="65.7109375" style="10" customWidth="1"/>
    <col min="7171" max="7179" width="14.42578125" style="10" customWidth="1"/>
    <col min="7180" max="7180" width="0" style="10" hidden="1" customWidth="1"/>
    <col min="7181" max="7181" width="11.42578125" style="10"/>
    <col min="7182" max="7182" width="11.7109375" style="10" bestFit="1" customWidth="1"/>
    <col min="7183" max="7424" width="11.42578125" style="10"/>
    <col min="7425" max="7425" width="2" style="10" customWidth="1"/>
    <col min="7426" max="7426" width="65.7109375" style="10" customWidth="1"/>
    <col min="7427" max="7435" width="14.42578125" style="10" customWidth="1"/>
    <col min="7436" max="7436" width="0" style="10" hidden="1" customWidth="1"/>
    <col min="7437" max="7437" width="11.42578125" style="10"/>
    <col min="7438" max="7438" width="11.7109375" style="10" bestFit="1" customWidth="1"/>
    <col min="7439" max="7680" width="11.42578125" style="10"/>
    <col min="7681" max="7681" width="2" style="10" customWidth="1"/>
    <col min="7682" max="7682" width="65.7109375" style="10" customWidth="1"/>
    <col min="7683" max="7691" width="14.42578125" style="10" customWidth="1"/>
    <col min="7692" max="7692" width="0" style="10" hidden="1" customWidth="1"/>
    <col min="7693" max="7693" width="11.42578125" style="10"/>
    <col min="7694" max="7694" width="11.7109375" style="10" bestFit="1" customWidth="1"/>
    <col min="7695" max="7936" width="11.42578125" style="10"/>
    <col min="7937" max="7937" width="2" style="10" customWidth="1"/>
    <col min="7938" max="7938" width="65.7109375" style="10" customWidth="1"/>
    <col min="7939" max="7947" width="14.42578125" style="10" customWidth="1"/>
    <col min="7948" max="7948" width="0" style="10" hidden="1" customWidth="1"/>
    <col min="7949" max="7949" width="11.42578125" style="10"/>
    <col min="7950" max="7950" width="11.7109375" style="10" bestFit="1" customWidth="1"/>
    <col min="7951" max="8192" width="11.42578125" style="10"/>
    <col min="8193" max="8193" width="2" style="10" customWidth="1"/>
    <col min="8194" max="8194" width="65.7109375" style="10" customWidth="1"/>
    <col min="8195" max="8203" width="14.42578125" style="10" customWidth="1"/>
    <col min="8204" max="8204" width="0" style="10" hidden="1" customWidth="1"/>
    <col min="8205" max="8205" width="11.42578125" style="10"/>
    <col min="8206" max="8206" width="11.7109375" style="10" bestFit="1" customWidth="1"/>
    <col min="8207" max="8448" width="11.42578125" style="10"/>
    <col min="8449" max="8449" width="2" style="10" customWidth="1"/>
    <col min="8450" max="8450" width="65.7109375" style="10" customWidth="1"/>
    <col min="8451" max="8459" width="14.42578125" style="10" customWidth="1"/>
    <col min="8460" max="8460" width="0" style="10" hidden="1" customWidth="1"/>
    <col min="8461" max="8461" width="11.42578125" style="10"/>
    <col min="8462" max="8462" width="11.7109375" style="10" bestFit="1" customWidth="1"/>
    <col min="8463" max="8704" width="11.42578125" style="10"/>
    <col min="8705" max="8705" width="2" style="10" customWidth="1"/>
    <col min="8706" max="8706" width="65.7109375" style="10" customWidth="1"/>
    <col min="8707" max="8715" width="14.42578125" style="10" customWidth="1"/>
    <col min="8716" max="8716" width="0" style="10" hidden="1" customWidth="1"/>
    <col min="8717" max="8717" width="11.42578125" style="10"/>
    <col min="8718" max="8718" width="11.7109375" style="10" bestFit="1" customWidth="1"/>
    <col min="8719" max="8960" width="11.42578125" style="10"/>
    <col min="8961" max="8961" width="2" style="10" customWidth="1"/>
    <col min="8962" max="8962" width="65.7109375" style="10" customWidth="1"/>
    <col min="8963" max="8971" width="14.42578125" style="10" customWidth="1"/>
    <col min="8972" max="8972" width="0" style="10" hidden="1" customWidth="1"/>
    <col min="8973" max="8973" width="11.42578125" style="10"/>
    <col min="8974" max="8974" width="11.7109375" style="10" bestFit="1" customWidth="1"/>
    <col min="8975" max="9216" width="11.42578125" style="10"/>
    <col min="9217" max="9217" width="2" style="10" customWidth="1"/>
    <col min="9218" max="9218" width="65.7109375" style="10" customWidth="1"/>
    <col min="9219" max="9227" width="14.42578125" style="10" customWidth="1"/>
    <col min="9228" max="9228" width="0" style="10" hidden="1" customWidth="1"/>
    <col min="9229" max="9229" width="11.42578125" style="10"/>
    <col min="9230" max="9230" width="11.7109375" style="10" bestFit="1" customWidth="1"/>
    <col min="9231" max="9472" width="11.42578125" style="10"/>
    <col min="9473" max="9473" width="2" style="10" customWidth="1"/>
    <col min="9474" max="9474" width="65.7109375" style="10" customWidth="1"/>
    <col min="9475" max="9483" width="14.42578125" style="10" customWidth="1"/>
    <col min="9484" max="9484" width="0" style="10" hidden="1" customWidth="1"/>
    <col min="9485" max="9485" width="11.42578125" style="10"/>
    <col min="9486" max="9486" width="11.7109375" style="10" bestFit="1" customWidth="1"/>
    <col min="9487" max="9728" width="11.42578125" style="10"/>
    <col min="9729" max="9729" width="2" style="10" customWidth="1"/>
    <col min="9730" max="9730" width="65.7109375" style="10" customWidth="1"/>
    <col min="9731" max="9739" width="14.42578125" style="10" customWidth="1"/>
    <col min="9740" max="9740" width="0" style="10" hidden="1" customWidth="1"/>
    <col min="9741" max="9741" width="11.42578125" style="10"/>
    <col min="9742" max="9742" width="11.7109375" style="10" bestFit="1" customWidth="1"/>
    <col min="9743" max="9984" width="11.42578125" style="10"/>
    <col min="9985" max="9985" width="2" style="10" customWidth="1"/>
    <col min="9986" max="9986" width="65.7109375" style="10" customWidth="1"/>
    <col min="9987" max="9995" width="14.42578125" style="10" customWidth="1"/>
    <col min="9996" max="9996" width="0" style="10" hidden="1" customWidth="1"/>
    <col min="9997" max="9997" width="11.42578125" style="10"/>
    <col min="9998" max="9998" width="11.7109375" style="10" bestFit="1" customWidth="1"/>
    <col min="9999" max="10240" width="11.42578125" style="10"/>
    <col min="10241" max="10241" width="2" style="10" customWidth="1"/>
    <col min="10242" max="10242" width="65.7109375" style="10" customWidth="1"/>
    <col min="10243" max="10251" width="14.42578125" style="10" customWidth="1"/>
    <col min="10252" max="10252" width="0" style="10" hidden="1" customWidth="1"/>
    <col min="10253" max="10253" width="11.42578125" style="10"/>
    <col min="10254" max="10254" width="11.7109375" style="10" bestFit="1" customWidth="1"/>
    <col min="10255" max="10496" width="11.42578125" style="10"/>
    <col min="10497" max="10497" width="2" style="10" customWidth="1"/>
    <col min="10498" max="10498" width="65.7109375" style="10" customWidth="1"/>
    <col min="10499" max="10507" width="14.42578125" style="10" customWidth="1"/>
    <col min="10508" max="10508" width="0" style="10" hidden="1" customWidth="1"/>
    <col min="10509" max="10509" width="11.42578125" style="10"/>
    <col min="10510" max="10510" width="11.7109375" style="10" bestFit="1" customWidth="1"/>
    <col min="10511" max="10752" width="11.42578125" style="10"/>
    <col min="10753" max="10753" width="2" style="10" customWidth="1"/>
    <col min="10754" max="10754" width="65.7109375" style="10" customWidth="1"/>
    <col min="10755" max="10763" width="14.42578125" style="10" customWidth="1"/>
    <col min="10764" max="10764" width="0" style="10" hidden="1" customWidth="1"/>
    <col min="10765" max="10765" width="11.42578125" style="10"/>
    <col min="10766" max="10766" width="11.7109375" style="10" bestFit="1" customWidth="1"/>
    <col min="10767" max="11008" width="11.42578125" style="10"/>
    <col min="11009" max="11009" width="2" style="10" customWidth="1"/>
    <col min="11010" max="11010" width="65.7109375" style="10" customWidth="1"/>
    <col min="11011" max="11019" width="14.42578125" style="10" customWidth="1"/>
    <col min="11020" max="11020" width="0" style="10" hidden="1" customWidth="1"/>
    <col min="11021" max="11021" width="11.42578125" style="10"/>
    <col min="11022" max="11022" width="11.7109375" style="10" bestFit="1" customWidth="1"/>
    <col min="11023" max="11264" width="11.42578125" style="10"/>
    <col min="11265" max="11265" width="2" style="10" customWidth="1"/>
    <col min="11266" max="11266" width="65.7109375" style="10" customWidth="1"/>
    <col min="11267" max="11275" width="14.42578125" style="10" customWidth="1"/>
    <col min="11276" max="11276" width="0" style="10" hidden="1" customWidth="1"/>
    <col min="11277" max="11277" width="11.42578125" style="10"/>
    <col min="11278" max="11278" width="11.7109375" style="10" bestFit="1" customWidth="1"/>
    <col min="11279" max="11520" width="11.42578125" style="10"/>
    <col min="11521" max="11521" width="2" style="10" customWidth="1"/>
    <col min="11522" max="11522" width="65.7109375" style="10" customWidth="1"/>
    <col min="11523" max="11531" width="14.42578125" style="10" customWidth="1"/>
    <col min="11532" max="11532" width="0" style="10" hidden="1" customWidth="1"/>
    <col min="11533" max="11533" width="11.42578125" style="10"/>
    <col min="11534" max="11534" width="11.7109375" style="10" bestFit="1" customWidth="1"/>
    <col min="11535" max="11776" width="11.42578125" style="10"/>
    <col min="11777" max="11777" width="2" style="10" customWidth="1"/>
    <col min="11778" max="11778" width="65.7109375" style="10" customWidth="1"/>
    <col min="11779" max="11787" width="14.42578125" style="10" customWidth="1"/>
    <col min="11788" max="11788" width="0" style="10" hidden="1" customWidth="1"/>
    <col min="11789" max="11789" width="11.42578125" style="10"/>
    <col min="11790" max="11790" width="11.7109375" style="10" bestFit="1" customWidth="1"/>
    <col min="11791" max="12032" width="11.42578125" style="10"/>
    <col min="12033" max="12033" width="2" style="10" customWidth="1"/>
    <col min="12034" max="12034" width="65.7109375" style="10" customWidth="1"/>
    <col min="12035" max="12043" width="14.42578125" style="10" customWidth="1"/>
    <col min="12044" max="12044" width="0" style="10" hidden="1" customWidth="1"/>
    <col min="12045" max="12045" width="11.42578125" style="10"/>
    <col min="12046" max="12046" width="11.7109375" style="10" bestFit="1" customWidth="1"/>
    <col min="12047" max="12288" width="11.42578125" style="10"/>
    <col min="12289" max="12289" width="2" style="10" customWidth="1"/>
    <col min="12290" max="12290" width="65.7109375" style="10" customWidth="1"/>
    <col min="12291" max="12299" width="14.42578125" style="10" customWidth="1"/>
    <col min="12300" max="12300" width="0" style="10" hidden="1" customWidth="1"/>
    <col min="12301" max="12301" width="11.42578125" style="10"/>
    <col min="12302" max="12302" width="11.7109375" style="10" bestFit="1" customWidth="1"/>
    <col min="12303" max="12544" width="11.42578125" style="10"/>
    <col min="12545" max="12545" width="2" style="10" customWidth="1"/>
    <col min="12546" max="12546" width="65.7109375" style="10" customWidth="1"/>
    <col min="12547" max="12555" width="14.42578125" style="10" customWidth="1"/>
    <col min="12556" max="12556" width="0" style="10" hidden="1" customWidth="1"/>
    <col min="12557" max="12557" width="11.42578125" style="10"/>
    <col min="12558" max="12558" width="11.7109375" style="10" bestFit="1" customWidth="1"/>
    <col min="12559" max="12800" width="11.42578125" style="10"/>
    <col min="12801" max="12801" width="2" style="10" customWidth="1"/>
    <col min="12802" max="12802" width="65.7109375" style="10" customWidth="1"/>
    <col min="12803" max="12811" width="14.42578125" style="10" customWidth="1"/>
    <col min="12812" max="12812" width="0" style="10" hidden="1" customWidth="1"/>
    <col min="12813" max="12813" width="11.42578125" style="10"/>
    <col min="12814" max="12814" width="11.7109375" style="10" bestFit="1" customWidth="1"/>
    <col min="12815" max="13056" width="11.42578125" style="10"/>
    <col min="13057" max="13057" width="2" style="10" customWidth="1"/>
    <col min="13058" max="13058" width="65.7109375" style="10" customWidth="1"/>
    <col min="13059" max="13067" width="14.42578125" style="10" customWidth="1"/>
    <col min="13068" max="13068" width="0" style="10" hidden="1" customWidth="1"/>
    <col min="13069" max="13069" width="11.42578125" style="10"/>
    <col min="13070" max="13070" width="11.7109375" style="10" bestFit="1" customWidth="1"/>
    <col min="13071" max="13312" width="11.42578125" style="10"/>
    <col min="13313" max="13313" width="2" style="10" customWidth="1"/>
    <col min="13314" max="13314" width="65.7109375" style="10" customWidth="1"/>
    <col min="13315" max="13323" width="14.42578125" style="10" customWidth="1"/>
    <col min="13324" max="13324" width="0" style="10" hidden="1" customWidth="1"/>
    <col min="13325" max="13325" width="11.42578125" style="10"/>
    <col min="13326" max="13326" width="11.7109375" style="10" bestFit="1" customWidth="1"/>
    <col min="13327" max="13568" width="11.42578125" style="10"/>
    <col min="13569" max="13569" width="2" style="10" customWidth="1"/>
    <col min="13570" max="13570" width="65.7109375" style="10" customWidth="1"/>
    <col min="13571" max="13579" width="14.42578125" style="10" customWidth="1"/>
    <col min="13580" max="13580" width="0" style="10" hidden="1" customWidth="1"/>
    <col min="13581" max="13581" width="11.42578125" style="10"/>
    <col min="13582" max="13582" width="11.7109375" style="10" bestFit="1" customWidth="1"/>
    <col min="13583" max="13824" width="11.42578125" style="10"/>
    <col min="13825" max="13825" width="2" style="10" customWidth="1"/>
    <col min="13826" max="13826" width="65.7109375" style="10" customWidth="1"/>
    <col min="13827" max="13835" width="14.42578125" style="10" customWidth="1"/>
    <col min="13836" max="13836" width="0" style="10" hidden="1" customWidth="1"/>
    <col min="13837" max="13837" width="11.42578125" style="10"/>
    <col min="13838" max="13838" width="11.7109375" style="10" bestFit="1" customWidth="1"/>
    <col min="13839" max="14080" width="11.42578125" style="10"/>
    <col min="14081" max="14081" width="2" style="10" customWidth="1"/>
    <col min="14082" max="14082" width="65.7109375" style="10" customWidth="1"/>
    <col min="14083" max="14091" width="14.42578125" style="10" customWidth="1"/>
    <col min="14092" max="14092" width="0" style="10" hidden="1" customWidth="1"/>
    <col min="14093" max="14093" width="11.42578125" style="10"/>
    <col min="14094" max="14094" width="11.7109375" style="10" bestFit="1" customWidth="1"/>
    <col min="14095" max="14336" width="11.42578125" style="10"/>
    <col min="14337" max="14337" width="2" style="10" customWidth="1"/>
    <col min="14338" max="14338" width="65.7109375" style="10" customWidth="1"/>
    <col min="14339" max="14347" width="14.42578125" style="10" customWidth="1"/>
    <col min="14348" max="14348" width="0" style="10" hidden="1" customWidth="1"/>
    <col min="14349" max="14349" width="11.42578125" style="10"/>
    <col min="14350" max="14350" width="11.7109375" style="10" bestFit="1" customWidth="1"/>
    <col min="14351" max="14592" width="11.42578125" style="10"/>
    <col min="14593" max="14593" width="2" style="10" customWidth="1"/>
    <col min="14594" max="14594" width="65.7109375" style="10" customWidth="1"/>
    <col min="14595" max="14603" width="14.42578125" style="10" customWidth="1"/>
    <col min="14604" max="14604" width="0" style="10" hidden="1" customWidth="1"/>
    <col min="14605" max="14605" width="11.42578125" style="10"/>
    <col min="14606" max="14606" width="11.7109375" style="10" bestFit="1" customWidth="1"/>
    <col min="14607" max="14848" width="11.42578125" style="10"/>
    <col min="14849" max="14849" width="2" style="10" customWidth="1"/>
    <col min="14850" max="14850" width="65.7109375" style="10" customWidth="1"/>
    <col min="14851" max="14859" width="14.42578125" style="10" customWidth="1"/>
    <col min="14860" max="14860" width="0" style="10" hidden="1" customWidth="1"/>
    <col min="14861" max="14861" width="11.42578125" style="10"/>
    <col min="14862" max="14862" width="11.7109375" style="10" bestFit="1" customWidth="1"/>
    <col min="14863" max="15104" width="11.42578125" style="10"/>
    <col min="15105" max="15105" width="2" style="10" customWidth="1"/>
    <col min="15106" max="15106" width="65.7109375" style="10" customWidth="1"/>
    <col min="15107" max="15115" width="14.42578125" style="10" customWidth="1"/>
    <col min="15116" max="15116" width="0" style="10" hidden="1" customWidth="1"/>
    <col min="15117" max="15117" width="11.42578125" style="10"/>
    <col min="15118" max="15118" width="11.7109375" style="10" bestFit="1" customWidth="1"/>
    <col min="15119" max="15360" width="11.42578125" style="10"/>
    <col min="15361" max="15361" width="2" style="10" customWidth="1"/>
    <col min="15362" max="15362" width="65.7109375" style="10" customWidth="1"/>
    <col min="15363" max="15371" width="14.42578125" style="10" customWidth="1"/>
    <col min="15372" max="15372" width="0" style="10" hidden="1" customWidth="1"/>
    <col min="15373" max="15373" width="11.42578125" style="10"/>
    <col min="15374" max="15374" width="11.7109375" style="10" bestFit="1" customWidth="1"/>
    <col min="15375" max="15616" width="11.42578125" style="10"/>
    <col min="15617" max="15617" width="2" style="10" customWidth="1"/>
    <col min="15618" max="15618" width="65.7109375" style="10" customWidth="1"/>
    <col min="15619" max="15627" width="14.42578125" style="10" customWidth="1"/>
    <col min="15628" max="15628" width="0" style="10" hidden="1" customWidth="1"/>
    <col min="15629" max="15629" width="11.42578125" style="10"/>
    <col min="15630" max="15630" width="11.7109375" style="10" bestFit="1" customWidth="1"/>
    <col min="15631" max="15872" width="11.42578125" style="10"/>
    <col min="15873" max="15873" width="2" style="10" customWidth="1"/>
    <col min="15874" max="15874" width="65.7109375" style="10" customWidth="1"/>
    <col min="15875" max="15883" width="14.42578125" style="10" customWidth="1"/>
    <col min="15884" max="15884" width="0" style="10" hidden="1" customWidth="1"/>
    <col min="15885" max="15885" width="11.42578125" style="10"/>
    <col min="15886" max="15886" width="11.7109375" style="10" bestFit="1" customWidth="1"/>
    <col min="15887" max="16128" width="11.42578125" style="10"/>
    <col min="16129" max="16129" width="2" style="10" customWidth="1"/>
    <col min="16130" max="16130" width="65.7109375" style="10" customWidth="1"/>
    <col min="16131" max="16139" width="14.42578125" style="10" customWidth="1"/>
    <col min="16140" max="16140" width="0" style="10" hidden="1" customWidth="1"/>
    <col min="16141" max="16141" width="11.42578125" style="10"/>
    <col min="16142" max="16142" width="11.7109375" style="10" bestFit="1" customWidth="1"/>
    <col min="16143" max="16384" width="11.42578125" style="10"/>
  </cols>
  <sheetData>
    <row r="1" spans="1:19" s="3" customFormat="1" ht="18" x14ac:dyDescent="0.35">
      <c r="A1" s="55"/>
      <c r="B1" s="56" t="s">
        <v>311</v>
      </c>
      <c r="C1" s="57"/>
      <c r="D1" s="57"/>
      <c r="E1" s="56"/>
      <c r="F1" s="56"/>
      <c r="G1" s="56"/>
      <c r="H1" s="56"/>
      <c r="I1" s="57"/>
      <c r="J1" s="57"/>
      <c r="K1" s="57"/>
      <c r="L1" s="57"/>
      <c r="M1" s="58"/>
      <c r="N1" s="59"/>
      <c r="O1" s="59"/>
      <c r="P1" s="59"/>
      <c r="Q1" s="59"/>
      <c r="R1" s="60"/>
      <c r="S1" s="60"/>
    </row>
    <row r="2" spans="1:19" s="3" customFormat="1" ht="18" x14ac:dyDescent="0.35">
      <c r="A2" s="55"/>
      <c r="B2" s="61" t="s">
        <v>66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8"/>
      <c r="N2" s="59"/>
      <c r="O2" s="59"/>
      <c r="P2" s="59"/>
      <c r="Q2" s="59"/>
      <c r="R2" s="60"/>
      <c r="S2" s="60"/>
    </row>
    <row r="3" spans="1:19" s="3" customFormat="1" ht="12" customHeight="1" x14ac:dyDescent="0.35">
      <c r="A3" s="62"/>
      <c r="B3" s="63"/>
      <c r="C3" s="64"/>
      <c r="D3" s="64"/>
      <c r="E3" s="65"/>
      <c r="F3" s="65"/>
      <c r="G3" s="66"/>
      <c r="H3" s="66"/>
      <c r="I3" s="66"/>
      <c r="J3" s="66"/>
      <c r="K3" s="66"/>
      <c r="L3" s="66"/>
      <c r="M3" s="67"/>
      <c r="N3" s="66"/>
      <c r="O3" s="66"/>
      <c r="P3" s="66"/>
      <c r="Q3" s="66"/>
      <c r="R3" s="63"/>
      <c r="S3" s="63"/>
    </row>
    <row r="4" spans="1:19" ht="14.25" customHeight="1" x14ac:dyDescent="0.3">
      <c r="A4" s="68"/>
      <c r="B4" s="489" t="s">
        <v>43</v>
      </c>
      <c r="C4" s="489"/>
      <c r="D4" s="489"/>
      <c r="E4" s="489"/>
      <c r="F4" s="489"/>
      <c r="G4" s="489"/>
      <c r="H4" s="489"/>
      <c r="I4" s="489"/>
      <c r="J4" s="489"/>
      <c r="K4" s="69"/>
      <c r="L4" s="69"/>
      <c r="M4" s="70"/>
      <c r="N4" s="71"/>
      <c r="O4" s="71"/>
      <c r="P4" s="71"/>
      <c r="Q4" s="71"/>
      <c r="R4" s="71"/>
      <c r="S4" s="72"/>
    </row>
    <row r="5" spans="1:19" x14ac:dyDescent="0.3">
      <c r="A5" s="28"/>
      <c r="B5" s="73" t="s">
        <v>67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4"/>
      <c r="N5" s="71"/>
      <c r="O5" s="71"/>
      <c r="P5" s="71"/>
      <c r="Q5" s="71"/>
      <c r="R5" s="71"/>
      <c r="S5" s="71"/>
    </row>
    <row r="6" spans="1:19" ht="30" customHeight="1" x14ac:dyDescent="0.3">
      <c r="A6" s="75"/>
      <c r="B6" s="490" t="s">
        <v>68</v>
      </c>
      <c r="C6" s="493" t="s">
        <v>69</v>
      </c>
      <c r="D6" s="494"/>
      <c r="E6" s="494"/>
      <c r="F6" s="494"/>
      <c r="G6" s="494"/>
      <c r="H6" s="494"/>
      <c r="I6" s="494"/>
      <c r="J6" s="495"/>
      <c r="K6" s="75"/>
      <c r="L6" s="75"/>
      <c r="M6" s="75"/>
      <c r="N6" s="75"/>
      <c r="O6" s="75"/>
      <c r="P6" s="75"/>
      <c r="Q6" s="75"/>
      <c r="R6" s="75"/>
      <c r="S6" s="75"/>
    </row>
    <row r="7" spans="1:19" ht="30" customHeight="1" x14ac:dyDescent="0.3">
      <c r="A7" s="75"/>
      <c r="B7" s="491"/>
      <c r="C7" s="496" t="s">
        <v>5</v>
      </c>
      <c r="D7" s="497"/>
      <c r="E7" s="496" t="s">
        <v>70</v>
      </c>
      <c r="F7" s="497"/>
      <c r="G7" s="498" t="s">
        <v>50</v>
      </c>
      <c r="H7" s="498"/>
      <c r="I7" s="498" t="s">
        <v>65</v>
      </c>
      <c r="J7" s="498"/>
      <c r="K7" s="75"/>
      <c r="L7" s="75"/>
      <c r="M7" s="75"/>
      <c r="N7" s="75"/>
      <c r="O7" s="75"/>
      <c r="P7" s="75"/>
      <c r="Q7" s="75"/>
      <c r="R7" s="75"/>
      <c r="S7" s="75"/>
    </row>
    <row r="8" spans="1:19" x14ac:dyDescent="0.3">
      <c r="A8" s="75"/>
      <c r="B8" s="492"/>
      <c r="C8" s="499" t="s">
        <v>71</v>
      </c>
      <c r="D8" s="500"/>
      <c r="E8" s="76" t="s">
        <v>51</v>
      </c>
      <c r="F8" s="76" t="s">
        <v>52</v>
      </c>
      <c r="G8" s="76" t="s">
        <v>51</v>
      </c>
      <c r="H8" s="76" t="s">
        <v>52</v>
      </c>
      <c r="I8" s="76" t="s">
        <v>51</v>
      </c>
      <c r="J8" s="76" t="s">
        <v>52</v>
      </c>
      <c r="K8" s="75"/>
      <c r="M8" s="75"/>
      <c r="N8" s="75"/>
      <c r="O8" s="75"/>
      <c r="P8" s="75"/>
      <c r="Q8" s="75"/>
      <c r="R8" s="75"/>
      <c r="S8" s="75"/>
    </row>
    <row r="9" spans="1:19" ht="15" customHeight="1" x14ac:dyDescent="0.3">
      <c r="A9" s="75"/>
      <c r="B9" s="77" t="s">
        <v>72</v>
      </c>
      <c r="C9" s="78">
        <f>+'[5]tableau 3'!C9+'[6]tableau 3'!C9+'[7]tableau 3'!C9+'[8]tableau 3'!C9</f>
        <v>1172099</v>
      </c>
      <c r="D9" s="78">
        <f>+'[5]tableau 3'!D9+'[6]tableau 3'!D9+'[7]tableau 3'!D9+'[8]tableau 3'!D9</f>
        <v>1172099</v>
      </c>
      <c r="E9" s="78">
        <f>+'[5]tableau 3'!E9+'[6]tableau 3'!E9+'[7]tableau 3'!E9+'[8]tableau 3'!E9</f>
        <v>80968259</v>
      </c>
      <c r="F9" s="78">
        <f>+'[5]tableau 3'!F9+'[6]tableau 3'!F9+'[7]tableau 3'!F9+'[8]tableau 3'!F9</f>
        <v>9243580</v>
      </c>
      <c r="G9" s="78">
        <f>+'[5]tableau 3'!G9+'[6]tableau 3'!G9+'[7]tableau 3'!G9+'[8]tableau 3'!G9</f>
        <v>62231552</v>
      </c>
      <c r="H9" s="78">
        <f>+'[5]tableau 3'!H9+'[6]tableau 3'!H9+'[7]tableau 3'!H9+'[8]tableau 3'!H9</f>
        <v>8711648</v>
      </c>
      <c r="I9" s="78">
        <f>+'[5]tableau 3'!I9+'[6]tableau 3'!I9+'[7]tableau 3'!I9+'[8]tableau 3'!I9</f>
        <v>144371910</v>
      </c>
      <c r="J9" s="78">
        <f>+'[5]tableau 3'!J9+'[6]tableau 3'!J9+'[7]tableau 3'!J9+'[8]tableau 3'!J9</f>
        <v>19127327</v>
      </c>
      <c r="K9" s="79"/>
      <c r="M9" s="75"/>
      <c r="N9" s="75"/>
      <c r="O9" s="75"/>
      <c r="P9" s="75"/>
      <c r="Q9" s="75"/>
      <c r="R9" s="75"/>
      <c r="S9" s="75"/>
    </row>
    <row r="10" spans="1:19" ht="15" customHeight="1" x14ac:dyDescent="0.3">
      <c r="A10" s="75"/>
      <c r="B10" s="80" t="s">
        <v>73</v>
      </c>
      <c r="C10" s="81">
        <f>+'[5]tableau 3'!C10+'[6]tableau 3'!C10+'[7]tableau 3'!C10+'[8]tableau 3'!C10</f>
        <v>351981</v>
      </c>
      <c r="D10" s="82">
        <f>+'[5]tableau 3'!D10+'[6]tableau 3'!D10+'[7]tableau 3'!D10+'[8]tableau 3'!D10</f>
        <v>351981</v>
      </c>
      <c r="E10" s="81">
        <f>+'[5]tableau 3'!E10+'[6]tableau 3'!E10+'[7]tableau 3'!E10+'[8]tableau 3'!E10</f>
        <v>1268491</v>
      </c>
      <c r="F10" s="81">
        <f>+'[5]tableau 3'!F10+'[6]tableau 3'!F10+'[7]tableau 3'!F10+'[8]tableau 3'!F10</f>
        <v>1268491</v>
      </c>
      <c r="G10" s="81">
        <f>+'[5]tableau 3'!G10+'[6]tableau 3'!G10+'[7]tableau 3'!G10+'[8]tableau 3'!G10</f>
        <v>10000</v>
      </c>
      <c r="H10" s="81">
        <f>+'[5]tableau 3'!H10+'[6]tableau 3'!H10+'[7]tableau 3'!H10+'[8]tableau 3'!H10</f>
        <v>10000</v>
      </c>
      <c r="I10" s="83">
        <f t="shared" ref="I10:I24" si="0">C10+E10+G10</f>
        <v>1630472</v>
      </c>
      <c r="J10" s="83">
        <f t="shared" ref="J10:J24" si="1">D10+F10+H10</f>
        <v>1630472</v>
      </c>
      <c r="K10" s="84"/>
      <c r="M10" s="75"/>
      <c r="N10" s="75"/>
      <c r="O10" s="75"/>
      <c r="P10" s="75"/>
      <c r="Q10" s="75"/>
      <c r="R10" s="75"/>
      <c r="S10" s="75"/>
    </row>
    <row r="11" spans="1:19" ht="15" customHeight="1" x14ac:dyDescent="0.3">
      <c r="A11" s="75"/>
      <c r="B11" s="85" t="s">
        <v>53</v>
      </c>
      <c r="C11" s="86">
        <f>+'[5]tableau 3'!C11+'[6]tableau 3'!C11+'[7]tableau 3'!C11+'[8]tableau 3'!C11</f>
        <v>26933</v>
      </c>
      <c r="D11" s="82">
        <f>+'[5]tableau 3'!D11+'[6]tableau 3'!D11+'[7]tableau 3'!D11+'[8]tableau 3'!D11</f>
        <v>26933</v>
      </c>
      <c r="E11" s="86">
        <f>+'[5]tableau 3'!E11+'[6]tableau 3'!E11+'[7]tableau 3'!E11+'[8]tableau 3'!E11</f>
        <v>248431</v>
      </c>
      <c r="F11" s="86">
        <f>+'[5]tableau 3'!F11+'[6]tableau 3'!F11+'[7]tableau 3'!F11+'[8]tableau 3'!F11</f>
        <v>248431</v>
      </c>
      <c r="G11" s="86">
        <f>+'[5]tableau 3'!G11+'[6]tableau 3'!G11+'[7]tableau 3'!G11+'[8]tableau 3'!G11</f>
        <v>0</v>
      </c>
      <c r="H11" s="86">
        <f>+'[5]tableau 3'!H11+'[6]tableau 3'!H11+'[7]tableau 3'!H11+'[8]tableau 3'!H11</f>
        <v>0</v>
      </c>
      <c r="I11" s="87">
        <f t="shared" si="0"/>
        <v>275364</v>
      </c>
      <c r="J11" s="87">
        <f t="shared" si="1"/>
        <v>275364</v>
      </c>
      <c r="K11" s="84"/>
      <c r="M11" s="75"/>
      <c r="N11" s="75"/>
      <c r="O11" s="75"/>
      <c r="P11" s="75"/>
      <c r="Q11" s="75"/>
      <c r="R11" s="75"/>
      <c r="S11" s="75"/>
    </row>
    <row r="12" spans="1:19" s="90" customFormat="1" ht="15" customHeight="1" x14ac:dyDescent="0.3">
      <c r="A12" s="75"/>
      <c r="B12" s="88" t="s">
        <v>54</v>
      </c>
      <c r="C12" s="86">
        <f>+'[5]tableau 3'!C12+'[6]tableau 3'!C12+'[7]tableau 3'!C12+'[8]tableau 3'!C12</f>
        <v>179822</v>
      </c>
      <c r="D12" s="82">
        <f>+'[5]tableau 3'!D12+'[6]tableau 3'!D12+'[7]tableau 3'!D12+'[8]tableau 3'!D12</f>
        <v>179822</v>
      </c>
      <c r="E12" s="86">
        <f>+'[5]tableau 3'!E12+'[6]tableau 3'!E12+'[7]tableau 3'!E12+'[8]tableau 3'!E12</f>
        <v>443060</v>
      </c>
      <c r="F12" s="86">
        <f>+'[5]tableau 3'!F12+'[6]tableau 3'!F12+'[7]tableau 3'!F12+'[8]tableau 3'!F12</f>
        <v>443060</v>
      </c>
      <c r="G12" s="86">
        <f>+'[5]tableau 3'!G12+'[6]tableau 3'!G12+'[7]tableau 3'!G12+'[8]tableau 3'!G12</f>
        <v>10000</v>
      </c>
      <c r="H12" s="86">
        <f>+'[5]tableau 3'!H12+'[6]tableau 3'!H12+'[7]tableau 3'!H12+'[8]tableau 3'!H12</f>
        <v>10000</v>
      </c>
      <c r="I12" s="87">
        <f t="shared" si="0"/>
        <v>632882</v>
      </c>
      <c r="J12" s="87">
        <f t="shared" si="1"/>
        <v>632882</v>
      </c>
      <c r="K12" s="89"/>
      <c r="M12" s="75"/>
      <c r="N12" s="75"/>
      <c r="O12" s="75"/>
      <c r="P12" s="75"/>
      <c r="Q12" s="75"/>
      <c r="R12" s="75"/>
      <c r="S12" s="75"/>
    </row>
    <row r="13" spans="1:19" s="90" customFormat="1" ht="15" customHeight="1" x14ac:dyDescent="0.3">
      <c r="A13" s="75"/>
      <c r="B13" s="88" t="s">
        <v>55</v>
      </c>
      <c r="C13" s="86">
        <f>+'[5]tableau 3'!C13+'[6]tableau 3'!C13+'[7]tableau 3'!C13+'[8]tableau 3'!C13</f>
        <v>145226</v>
      </c>
      <c r="D13" s="82">
        <f>+'[5]tableau 3'!D13+'[6]tableau 3'!D13+'[7]tableau 3'!D13+'[8]tableau 3'!D13</f>
        <v>145226</v>
      </c>
      <c r="E13" s="86">
        <f>+'[5]tableau 3'!E13+'[6]tableau 3'!E13+'[7]tableau 3'!E13+'[8]tableau 3'!E13</f>
        <v>577000</v>
      </c>
      <c r="F13" s="86">
        <f>+'[5]tableau 3'!F13+'[6]tableau 3'!F13+'[7]tableau 3'!F13+'[8]tableau 3'!F13</f>
        <v>577000</v>
      </c>
      <c r="G13" s="86">
        <f>+'[5]tableau 3'!G13+'[6]tableau 3'!G13+'[7]tableau 3'!G13+'[8]tableau 3'!G13</f>
        <v>0</v>
      </c>
      <c r="H13" s="86">
        <f>+'[5]tableau 3'!H13+'[6]tableau 3'!H13+'[7]tableau 3'!H13+'[8]tableau 3'!H13</f>
        <v>0</v>
      </c>
      <c r="I13" s="87">
        <f t="shared" si="0"/>
        <v>722226</v>
      </c>
      <c r="J13" s="87">
        <f t="shared" si="1"/>
        <v>722226</v>
      </c>
      <c r="K13" s="89"/>
      <c r="M13" s="75"/>
      <c r="N13" s="75"/>
      <c r="O13" s="75"/>
      <c r="P13" s="75"/>
      <c r="Q13" s="75"/>
      <c r="R13" s="75"/>
      <c r="S13" s="75"/>
    </row>
    <row r="14" spans="1:19" s="90" customFormat="1" ht="15" customHeight="1" x14ac:dyDescent="0.3">
      <c r="A14" s="75"/>
      <c r="B14" s="91" t="s">
        <v>56</v>
      </c>
      <c r="C14" s="86">
        <f>+'[5]tableau 3'!C14+'[6]tableau 3'!C14+'[7]tableau 3'!C14+'[8]tableau 3'!C14</f>
        <v>44707</v>
      </c>
      <c r="D14" s="82">
        <f>+'[5]tableau 3'!D14+'[6]tableau 3'!D14+'[7]tableau 3'!D14+'[8]tableau 3'!D14</f>
        <v>44707</v>
      </c>
      <c r="E14" s="86">
        <f>+'[5]tableau 3'!E14+'[6]tableau 3'!E14+'[7]tableau 3'!E14+'[8]tableau 3'!E14</f>
        <v>285000</v>
      </c>
      <c r="F14" s="86">
        <f>+'[5]tableau 3'!F14+'[6]tableau 3'!F14+'[7]tableau 3'!F14+'[8]tableau 3'!F14</f>
        <v>285000</v>
      </c>
      <c r="G14" s="86">
        <f>+'[5]tableau 3'!G14+'[6]tableau 3'!G14+'[7]tableau 3'!G14+'[8]tableau 3'!G14</f>
        <v>0</v>
      </c>
      <c r="H14" s="86">
        <f>+'[5]tableau 3'!H14+'[6]tableau 3'!H14+'[7]tableau 3'!H14+'[8]tableau 3'!H14</f>
        <v>0</v>
      </c>
      <c r="I14" s="87">
        <f t="shared" si="0"/>
        <v>329707</v>
      </c>
      <c r="J14" s="87">
        <f t="shared" si="1"/>
        <v>329707</v>
      </c>
      <c r="K14" s="89"/>
      <c r="M14" s="75"/>
      <c r="N14" s="75"/>
      <c r="O14" s="75"/>
      <c r="P14" s="75"/>
      <c r="Q14" s="75"/>
      <c r="R14" s="75"/>
      <c r="S14" s="75"/>
    </row>
    <row r="15" spans="1:19" s="90" customFormat="1" ht="15" customHeight="1" x14ac:dyDescent="0.3">
      <c r="A15" s="75"/>
      <c r="B15" s="92" t="s">
        <v>57</v>
      </c>
      <c r="C15" s="86">
        <f>+'[5]tableau 3'!C15+'[6]tableau 3'!C15+'[7]tableau 3'!C15+'[8]tableau 3'!C15</f>
        <v>0</v>
      </c>
      <c r="D15" s="82">
        <f>+'[5]tableau 3'!D15+'[6]tableau 3'!D15+'[7]tableau 3'!D15+'[8]tableau 3'!D15</f>
        <v>0</v>
      </c>
      <c r="E15" s="86">
        <f>+'[5]tableau 3'!E15+'[6]tableau 3'!E15+'[7]tableau 3'!E15+'[8]tableau 3'!E15</f>
        <v>0</v>
      </c>
      <c r="F15" s="86">
        <f>+'[5]tableau 3'!F15+'[6]tableau 3'!F15+'[7]tableau 3'!F15+'[8]tableau 3'!F15</f>
        <v>0</v>
      </c>
      <c r="G15" s="86">
        <f>+'[5]tableau 3'!G15+'[6]tableau 3'!G15+'[7]tableau 3'!G15+'[8]tableau 3'!G15</f>
        <v>0</v>
      </c>
      <c r="H15" s="86">
        <f>+'[5]tableau 3'!H15+'[6]tableau 3'!H15+'[7]tableau 3'!H15+'[8]tableau 3'!H15</f>
        <v>0</v>
      </c>
      <c r="I15" s="87">
        <f t="shared" si="0"/>
        <v>0</v>
      </c>
      <c r="J15" s="87">
        <f t="shared" si="1"/>
        <v>0</v>
      </c>
      <c r="K15" s="89"/>
      <c r="M15" s="75"/>
      <c r="N15" s="75"/>
      <c r="O15" s="75"/>
      <c r="P15" s="75"/>
      <c r="Q15" s="75"/>
      <c r="R15" s="75"/>
      <c r="S15" s="75"/>
    </row>
    <row r="16" spans="1:19" s="90" customFormat="1" ht="15" customHeight="1" x14ac:dyDescent="0.3">
      <c r="A16" s="75"/>
      <c r="B16" s="92" t="s">
        <v>74</v>
      </c>
      <c r="C16" s="86">
        <f>+'[5]tableau 3'!C16+'[6]tableau 3'!C16+'[7]tableau 3'!C16+'[8]tableau 3'!C16</f>
        <v>0</v>
      </c>
      <c r="D16" s="82">
        <f>+'[5]tableau 3'!D16+'[6]tableau 3'!D16+'[7]tableau 3'!D16+'[8]tableau 3'!D16</f>
        <v>0</v>
      </c>
      <c r="E16" s="86">
        <f>+'[5]tableau 3'!E16+'[6]tableau 3'!E16+'[7]tableau 3'!E16+'[8]tableau 3'!E16</f>
        <v>0</v>
      </c>
      <c r="F16" s="86">
        <f>+'[5]tableau 3'!F16+'[6]tableau 3'!F16+'[7]tableau 3'!F16+'[8]tableau 3'!F16</f>
        <v>0</v>
      </c>
      <c r="G16" s="86">
        <f>+'[5]tableau 3'!G16+'[6]tableau 3'!G16+'[7]tableau 3'!G16+'[8]tableau 3'!G16</f>
        <v>0</v>
      </c>
      <c r="H16" s="86">
        <f>+'[5]tableau 3'!H16+'[6]tableau 3'!H16+'[7]tableau 3'!H16+'[8]tableau 3'!H16</f>
        <v>0</v>
      </c>
      <c r="I16" s="87">
        <f t="shared" si="0"/>
        <v>0</v>
      </c>
      <c r="J16" s="87">
        <f t="shared" si="1"/>
        <v>0</v>
      </c>
      <c r="K16" s="89"/>
      <c r="M16" s="75"/>
      <c r="N16" s="75"/>
      <c r="O16" s="75"/>
      <c r="P16" s="75"/>
      <c r="Q16" s="75"/>
      <c r="R16" s="75"/>
      <c r="S16" s="75"/>
    </row>
    <row r="17" spans="1:19" s="90" customFormat="1" ht="15" customHeight="1" x14ac:dyDescent="0.3">
      <c r="A17" s="75"/>
      <c r="B17" s="92" t="s">
        <v>75</v>
      </c>
      <c r="C17" s="86">
        <f>+'[5]tableau 3'!C17+'[6]tableau 3'!C17+'[7]tableau 3'!C17+'[8]tableau 3'!C17</f>
        <v>0</v>
      </c>
      <c r="D17" s="82">
        <f>+'[5]tableau 3'!D17+'[6]tableau 3'!D17+'[7]tableau 3'!D17+'[8]tableau 3'!D17</f>
        <v>0</v>
      </c>
      <c r="E17" s="86">
        <f>+'[5]tableau 3'!E17+'[6]tableau 3'!E17+'[7]tableau 3'!E17+'[8]tableau 3'!E17</f>
        <v>0</v>
      </c>
      <c r="F17" s="86">
        <f>+'[5]tableau 3'!F17+'[6]tableau 3'!F17+'[7]tableau 3'!F17+'[8]tableau 3'!F17</f>
        <v>0</v>
      </c>
      <c r="G17" s="86">
        <f>+'[5]tableau 3'!G17+'[6]tableau 3'!G17+'[7]tableau 3'!G17+'[8]tableau 3'!G17</f>
        <v>0</v>
      </c>
      <c r="H17" s="86">
        <f>+'[5]tableau 3'!H17+'[6]tableau 3'!H17+'[7]tableau 3'!H17+'[8]tableau 3'!H17</f>
        <v>0</v>
      </c>
      <c r="I17" s="87">
        <f t="shared" si="0"/>
        <v>0</v>
      </c>
      <c r="J17" s="87">
        <f t="shared" si="1"/>
        <v>0</v>
      </c>
      <c r="K17" s="89"/>
      <c r="M17" s="75"/>
      <c r="N17" s="75"/>
      <c r="O17" s="75"/>
      <c r="P17" s="75"/>
      <c r="Q17" s="75"/>
      <c r="R17" s="75"/>
      <c r="S17" s="75"/>
    </row>
    <row r="18" spans="1:19" s="90" customFormat="1" ht="15" customHeight="1" x14ac:dyDescent="0.3">
      <c r="A18" s="75"/>
      <c r="B18" s="92" t="s">
        <v>76</v>
      </c>
      <c r="C18" s="86">
        <f>+'[5]tableau 3'!C18+'[6]tableau 3'!C18+'[7]tableau 3'!C18+'[8]tableau 3'!C18</f>
        <v>0</v>
      </c>
      <c r="D18" s="82">
        <f>+'[5]tableau 3'!D18+'[6]tableau 3'!D18+'[7]tableau 3'!D18+'[8]tableau 3'!D18</f>
        <v>0</v>
      </c>
      <c r="E18" s="86">
        <f>+'[5]tableau 3'!E18+'[6]tableau 3'!E18+'[7]tableau 3'!E18+'[8]tableau 3'!E18</f>
        <v>0</v>
      </c>
      <c r="F18" s="86">
        <f>+'[5]tableau 3'!F18+'[6]tableau 3'!F18+'[7]tableau 3'!F18+'[8]tableau 3'!F18</f>
        <v>0</v>
      </c>
      <c r="G18" s="86">
        <f>+'[5]tableau 3'!G18+'[6]tableau 3'!G18+'[7]tableau 3'!G18+'[8]tableau 3'!G18</f>
        <v>0</v>
      </c>
      <c r="H18" s="86">
        <f>+'[5]tableau 3'!H18+'[6]tableau 3'!H18+'[7]tableau 3'!H18+'[8]tableau 3'!H18</f>
        <v>0</v>
      </c>
      <c r="I18" s="87">
        <f t="shared" si="0"/>
        <v>0</v>
      </c>
      <c r="J18" s="87">
        <f t="shared" si="1"/>
        <v>0</v>
      </c>
      <c r="K18" s="89"/>
      <c r="M18" s="75"/>
      <c r="N18" s="75"/>
      <c r="O18" s="75"/>
      <c r="P18" s="75"/>
      <c r="Q18" s="75"/>
      <c r="R18" s="75"/>
      <c r="S18" s="75"/>
    </row>
    <row r="19" spans="1:19" s="90" customFormat="1" ht="15" customHeight="1" x14ac:dyDescent="0.3">
      <c r="A19" s="75"/>
      <c r="B19" s="92" t="s">
        <v>77</v>
      </c>
      <c r="C19" s="86">
        <f>+'[5]tableau 3'!C19+'[6]tableau 3'!C19+'[7]tableau 3'!C19+'[8]tableau 3'!C19</f>
        <v>0</v>
      </c>
      <c r="D19" s="82">
        <f>+'[5]tableau 3'!D19+'[6]tableau 3'!D19+'[7]tableau 3'!D19+'[8]tableau 3'!D19</f>
        <v>0</v>
      </c>
      <c r="E19" s="86">
        <f>+'[5]tableau 3'!E19+'[6]tableau 3'!E19+'[7]tableau 3'!E19+'[8]tableau 3'!E19</f>
        <v>0</v>
      </c>
      <c r="F19" s="86">
        <f>+'[5]tableau 3'!F19+'[6]tableau 3'!F19+'[7]tableau 3'!F19+'[8]tableau 3'!F19</f>
        <v>0</v>
      </c>
      <c r="G19" s="86">
        <f>+'[5]tableau 3'!G19+'[6]tableau 3'!G19+'[7]tableau 3'!G19+'[8]tableau 3'!G19</f>
        <v>0</v>
      </c>
      <c r="H19" s="86">
        <f>+'[5]tableau 3'!H19+'[6]tableau 3'!H19+'[7]tableau 3'!H19+'[8]tableau 3'!H19</f>
        <v>0</v>
      </c>
      <c r="I19" s="87">
        <f t="shared" si="0"/>
        <v>0</v>
      </c>
      <c r="J19" s="87">
        <f t="shared" si="1"/>
        <v>0</v>
      </c>
      <c r="K19" s="89"/>
      <c r="M19" s="75"/>
      <c r="N19" s="75"/>
      <c r="O19" s="75"/>
      <c r="P19" s="75"/>
      <c r="Q19" s="75"/>
      <c r="R19" s="75"/>
      <c r="S19" s="75"/>
    </row>
    <row r="20" spans="1:19" s="90" customFormat="1" ht="15" customHeight="1" x14ac:dyDescent="0.3">
      <c r="A20" s="75"/>
      <c r="B20" s="92" t="s">
        <v>58</v>
      </c>
      <c r="C20" s="86">
        <f>+'[5]tableau 3'!C20+'[6]tableau 3'!C20+'[7]tableau 3'!C20+'[8]tableau 3'!C20</f>
        <v>0</v>
      </c>
      <c r="D20" s="82">
        <f>+'[5]tableau 3'!D20+'[6]tableau 3'!D20+'[7]tableau 3'!D20+'[8]tableau 3'!D20</f>
        <v>0</v>
      </c>
      <c r="E20" s="86">
        <f>+'[5]tableau 3'!E20+'[6]tableau 3'!E20+'[7]tableau 3'!E20+'[8]tableau 3'!E20</f>
        <v>0</v>
      </c>
      <c r="F20" s="86">
        <f>+'[5]tableau 3'!F20+'[6]tableau 3'!F20+'[7]tableau 3'!F20+'[8]tableau 3'!F20</f>
        <v>0</v>
      </c>
      <c r="G20" s="86">
        <f>+'[5]tableau 3'!G20+'[6]tableau 3'!G20+'[7]tableau 3'!G20+'[8]tableau 3'!G20</f>
        <v>0</v>
      </c>
      <c r="H20" s="86">
        <f>+'[5]tableau 3'!H20+'[6]tableau 3'!H20+'[7]tableau 3'!H20+'[8]tableau 3'!H20</f>
        <v>0</v>
      </c>
      <c r="I20" s="87">
        <f t="shared" si="0"/>
        <v>0</v>
      </c>
      <c r="J20" s="87">
        <f t="shared" si="1"/>
        <v>0</v>
      </c>
      <c r="K20" s="84"/>
      <c r="L20" s="75"/>
      <c r="M20" s="75"/>
      <c r="N20" s="75"/>
      <c r="O20" s="75"/>
      <c r="P20" s="75"/>
      <c r="Q20" s="75"/>
      <c r="R20" s="75"/>
      <c r="S20" s="75"/>
    </row>
    <row r="21" spans="1:19" s="90" customFormat="1" ht="15" customHeight="1" x14ac:dyDescent="0.3">
      <c r="A21" s="75"/>
      <c r="B21" s="92" t="s">
        <v>78</v>
      </c>
      <c r="C21" s="86">
        <f>+'[5]tableau 3'!C21+'[6]tableau 3'!C21+'[7]tableau 3'!C21+'[8]tableau 3'!C21</f>
        <v>102794</v>
      </c>
      <c r="D21" s="82">
        <f>+'[5]tableau 3'!D21+'[6]tableau 3'!D21+'[7]tableau 3'!D21+'[8]tableau 3'!D21</f>
        <v>102794</v>
      </c>
      <c r="E21" s="86">
        <f>+'[5]tableau 3'!E21+'[6]tableau 3'!E21+'[7]tableau 3'!E21+'[8]tableau 3'!E21</f>
        <v>1315411</v>
      </c>
      <c r="F21" s="86">
        <f>+'[5]tableau 3'!F21+'[6]tableau 3'!F21+'[7]tableau 3'!F21+'[8]tableau 3'!F21</f>
        <v>1315411</v>
      </c>
      <c r="G21" s="86">
        <f>+'[5]tableau 3'!G21+'[6]tableau 3'!G21+'[7]tableau 3'!G21+'[8]tableau 3'!G21</f>
        <v>15000</v>
      </c>
      <c r="H21" s="86">
        <f>+'[5]tableau 3'!H21+'[6]tableau 3'!H21+'[7]tableau 3'!H21+'[8]tableau 3'!H21</f>
        <v>15000</v>
      </c>
      <c r="I21" s="87">
        <f t="shared" si="0"/>
        <v>1433205</v>
      </c>
      <c r="J21" s="87">
        <f t="shared" si="1"/>
        <v>1433205</v>
      </c>
      <c r="K21" s="75"/>
      <c r="L21" s="75"/>
      <c r="M21" s="75"/>
      <c r="N21" s="75"/>
      <c r="O21" s="75"/>
      <c r="P21" s="75"/>
      <c r="Q21" s="75"/>
      <c r="R21" s="75"/>
      <c r="S21" s="75"/>
    </row>
    <row r="22" spans="1:19" s="90" customFormat="1" ht="15" customHeight="1" x14ac:dyDescent="0.3">
      <c r="A22" s="75"/>
      <c r="B22" s="91" t="s">
        <v>59</v>
      </c>
      <c r="C22" s="86">
        <f>+'[5]tableau 3'!C22+'[6]tableau 3'!C22+'[7]tableau 3'!C22+'[8]tableau 3'!C22</f>
        <v>106830</v>
      </c>
      <c r="D22" s="82">
        <f>+'[5]tableau 3'!D22+'[6]tableau 3'!D22+'[7]tableau 3'!D22+'[8]tableau 3'!D22</f>
        <v>106830</v>
      </c>
      <c r="E22" s="86">
        <f>+'[5]tableau 3'!E22+'[6]tableau 3'!E22+'[7]tableau 3'!E22+'[8]tableau 3'!E22</f>
        <v>153514</v>
      </c>
      <c r="F22" s="86">
        <f>+'[5]tableau 3'!F22+'[6]tableau 3'!F22+'[7]tableau 3'!F22+'[8]tableau 3'!F22</f>
        <v>153514</v>
      </c>
      <c r="G22" s="86">
        <f>+'[5]tableau 3'!G22+'[6]tableau 3'!G22+'[7]tableau 3'!G22+'[8]tableau 3'!G22</f>
        <v>0</v>
      </c>
      <c r="H22" s="86">
        <f>+'[5]tableau 3'!H22+'[6]tableau 3'!H22+'[7]tableau 3'!H22+'[8]tableau 3'!H22</f>
        <v>0</v>
      </c>
      <c r="I22" s="87">
        <f t="shared" si="0"/>
        <v>260344</v>
      </c>
      <c r="J22" s="87">
        <f t="shared" si="1"/>
        <v>260344</v>
      </c>
      <c r="K22" s="75"/>
      <c r="L22" s="75"/>
      <c r="M22" s="75"/>
      <c r="N22" s="75"/>
      <c r="O22" s="75"/>
      <c r="P22" s="75"/>
      <c r="Q22" s="75"/>
      <c r="R22" s="75"/>
      <c r="S22" s="75"/>
    </row>
    <row r="23" spans="1:19" s="90" customFormat="1" ht="15" customHeight="1" x14ac:dyDescent="0.3">
      <c r="A23" s="93"/>
      <c r="B23" s="91" t="s">
        <v>60</v>
      </c>
      <c r="C23" s="86">
        <f>+'[5]tableau 3'!C23+'[6]tableau 3'!C23+'[7]tableau 3'!C23+'[8]tableau 3'!C23</f>
        <v>0</v>
      </c>
      <c r="D23" s="82">
        <f>+'[5]tableau 3'!D23+'[6]tableau 3'!D23+'[7]tableau 3'!D23+'[8]tableau 3'!D23</f>
        <v>0</v>
      </c>
      <c r="E23" s="86">
        <f>+'[5]tableau 3'!E23+'[6]tableau 3'!E23+'[7]tableau 3'!E23+'[8]tableau 3'!E23</f>
        <v>74917970</v>
      </c>
      <c r="F23" s="86">
        <f>+'[5]tableau 3'!F23+'[6]tableau 3'!F23+'[7]tableau 3'!F23+'[8]tableau 3'!F23</f>
        <v>4173291</v>
      </c>
      <c r="G23" s="86">
        <f>+'[5]tableau 3'!G23+'[6]tableau 3'!G23+'[7]tableau 3'!G23+'[8]tableau 3'!G23</f>
        <v>61753260</v>
      </c>
      <c r="H23" s="86">
        <f>+'[5]tableau 3'!H23+'[6]tableau 3'!H23+'[7]tableau 3'!H23+'[8]tableau 3'!H23</f>
        <v>8233356</v>
      </c>
      <c r="I23" s="87">
        <f t="shared" si="0"/>
        <v>136671230</v>
      </c>
      <c r="J23" s="87">
        <f t="shared" si="1"/>
        <v>12406647</v>
      </c>
      <c r="K23" s="75"/>
      <c r="L23" s="75"/>
      <c r="M23" s="93"/>
      <c r="N23" s="93"/>
      <c r="O23" s="93"/>
      <c r="P23" s="93"/>
      <c r="Q23" s="93"/>
      <c r="R23" s="93"/>
      <c r="S23" s="93"/>
    </row>
    <row r="24" spans="1:19" s="90" customFormat="1" ht="15" customHeight="1" x14ac:dyDescent="0.3">
      <c r="A24" s="93"/>
      <c r="B24" s="91" t="s">
        <v>61</v>
      </c>
      <c r="C24" s="86">
        <f>+'[5]tableau 3'!C24+'[6]tableau 3'!C24+'[7]tableau 3'!C24+'[8]tableau 3'!C24</f>
        <v>565787</v>
      </c>
      <c r="D24" s="82">
        <f>+'[5]tableau 3'!D24+'[6]tableau 3'!D24+'[7]tableau 3'!D24+'[8]tableau 3'!D24</f>
        <v>565787</v>
      </c>
      <c r="E24" s="86">
        <f>+'[5]tableau 3'!E24+'[6]tableau 3'!E24+'[7]tableau 3'!E24+'[8]tableau 3'!E24</f>
        <v>3027873</v>
      </c>
      <c r="F24" s="86">
        <f>+'[5]tableau 3'!F24+'[6]tableau 3'!F24+'[7]tableau 3'!F24+'[8]tableau 3'!F24</f>
        <v>2047873</v>
      </c>
      <c r="G24" s="86">
        <f>+'[5]tableau 3'!G24+'[6]tableau 3'!G24+'[7]tableau 3'!G24+'[8]tableau 3'!G24</f>
        <v>453292</v>
      </c>
      <c r="H24" s="86">
        <f>+'[5]tableau 3'!H24+'[6]tableau 3'!H24+'[7]tableau 3'!H24+'[8]tableau 3'!H24</f>
        <v>453292</v>
      </c>
      <c r="I24" s="87">
        <f t="shared" si="0"/>
        <v>4046952</v>
      </c>
      <c r="J24" s="87">
        <f t="shared" si="1"/>
        <v>3066952</v>
      </c>
      <c r="K24" s="75"/>
      <c r="L24" s="75"/>
      <c r="M24" s="93"/>
      <c r="N24" s="93"/>
      <c r="O24" s="93"/>
      <c r="P24" s="93"/>
      <c r="Q24" s="93"/>
      <c r="R24" s="93"/>
      <c r="S24" s="93"/>
    </row>
    <row r="25" spans="1:19" s="90" customFormat="1" ht="15" customHeight="1" x14ac:dyDescent="0.3">
      <c r="A25" s="93"/>
      <c r="B25" s="94" t="s">
        <v>62</v>
      </c>
      <c r="C25" s="95">
        <f>+'[5]tableau 3'!C25+'[6]tableau 3'!C25+'[7]tableau 3'!C25+'[8]tableau 3'!C25</f>
        <v>0</v>
      </c>
      <c r="D25" s="95">
        <f>+'[5]tableau 3'!D25+'[6]tableau 3'!D25+'[7]tableau 3'!D25+'[8]tableau 3'!D25</f>
        <v>0</v>
      </c>
      <c r="E25" s="95">
        <f>+'[5]tableau 3'!E25+'[6]tableau 3'!E25+'[7]tableau 3'!E25+'[8]tableau 3'!E25</f>
        <v>252100</v>
      </c>
      <c r="F25" s="95">
        <f>+'[5]tableau 3'!F25+'[6]tableau 3'!F25+'[7]tableau 3'!F25+'[8]tableau 3'!F25</f>
        <v>252100</v>
      </c>
      <c r="G25" s="95">
        <f>+'[5]tableau 3'!G25+'[6]tableau 3'!G25+'[7]tableau 3'!G25+'[8]tableau 3'!G25</f>
        <v>0</v>
      </c>
      <c r="H25" s="95">
        <f>+'[5]tableau 3'!H25+'[6]tableau 3'!H25+'[7]tableau 3'!H25+'[8]tableau 3'!H25</f>
        <v>0</v>
      </c>
      <c r="I25" s="95">
        <f>+'[5]tableau 3'!I25+'[6]tableau 3'!I25+'[7]tableau 3'!I25+'[8]tableau 3'!I25</f>
        <v>252100</v>
      </c>
      <c r="J25" s="95">
        <f>+'[5]tableau 3'!J25+'[6]tableau 3'!J25+'[7]tableau 3'!J25+'[8]tableau 3'!J25</f>
        <v>252100</v>
      </c>
      <c r="K25" s="96"/>
      <c r="L25" s="75"/>
      <c r="M25" s="415"/>
      <c r="N25" s="93"/>
      <c r="O25" s="93"/>
      <c r="P25" s="93"/>
      <c r="Q25" s="93"/>
      <c r="R25" s="93"/>
      <c r="S25" s="93"/>
    </row>
    <row r="26" spans="1:19" s="90" customFormat="1" ht="15" customHeight="1" x14ac:dyDescent="0.3">
      <c r="A26" s="93"/>
      <c r="B26" s="91" t="s">
        <v>63</v>
      </c>
      <c r="C26" s="86">
        <f>+'[5]tableau 3'!C26+'[6]tableau 3'!C26+'[7]tableau 3'!C26+'[8]tableau 3'!C26</f>
        <v>0</v>
      </c>
      <c r="D26" s="82">
        <f>+'[5]tableau 3'!D26+'[6]tableau 3'!D26+'[7]tableau 3'!D26+'[8]tableau 3'!D26</f>
        <v>0</v>
      </c>
      <c r="E26" s="86">
        <f>+'[5]tableau 3'!E26+'[6]tableau 3'!E26+'[7]tableau 3'!E26+'[8]tableau 3'!E26</f>
        <v>0</v>
      </c>
      <c r="F26" s="86">
        <f>+'[5]tableau 3'!F26+'[6]tableau 3'!F26+'[7]tableau 3'!F26+'[8]tableau 3'!F26</f>
        <v>0</v>
      </c>
      <c r="G26" s="86">
        <f>+'[5]tableau 3'!G26+'[6]tableau 3'!G26+'[7]tableau 3'!G26+'[8]tableau 3'!G26</f>
        <v>0</v>
      </c>
      <c r="H26" s="86">
        <f>+'[5]tableau 3'!H26+'[6]tableau 3'!H26+'[7]tableau 3'!H26+'[8]tableau 3'!H26</f>
        <v>0</v>
      </c>
      <c r="I26" s="87">
        <f>+'[5]tableau 3'!I26+'[6]tableau 3'!I26+'[7]tableau 3'!I26+'[8]tableau 3'!I26</f>
        <v>0</v>
      </c>
      <c r="J26" s="87">
        <f>+'[5]tableau 3'!J26+'[6]tableau 3'!J26+'[7]tableau 3'!J26+'[8]tableau 3'!J26</f>
        <v>0</v>
      </c>
      <c r="K26" s="75"/>
      <c r="L26" s="75"/>
      <c r="M26" s="93"/>
      <c r="N26" s="93"/>
      <c r="O26" s="93"/>
      <c r="P26" s="93"/>
      <c r="Q26" s="93"/>
      <c r="R26" s="93"/>
      <c r="S26" s="93"/>
    </row>
    <row r="27" spans="1:19" ht="15" customHeight="1" x14ac:dyDescent="0.3">
      <c r="A27" s="97"/>
      <c r="B27" s="98" t="s">
        <v>79</v>
      </c>
      <c r="C27" s="86">
        <f>+'[5]tableau 3'!C27+'[6]tableau 3'!C27+'[7]tableau 3'!C27+'[8]tableau 3'!C27</f>
        <v>0</v>
      </c>
      <c r="D27" s="82">
        <f>+'[5]tableau 3'!D27+'[6]tableau 3'!D27+'[7]tableau 3'!D27+'[8]tableau 3'!D27</f>
        <v>0</v>
      </c>
      <c r="E27" s="86">
        <f>+'[5]tableau 3'!E27+'[6]tableau 3'!E27+'[7]tableau 3'!E27+'[8]tableau 3'!E27</f>
        <v>252100</v>
      </c>
      <c r="F27" s="86">
        <f>+'[5]tableau 3'!F27+'[6]tableau 3'!F27+'[7]tableau 3'!F27+'[8]tableau 3'!F27</f>
        <v>252100</v>
      </c>
      <c r="G27" s="86">
        <f>+'[5]tableau 3'!G27+'[6]tableau 3'!G27+'[7]tableau 3'!G27+'[8]tableau 3'!G27</f>
        <v>0</v>
      </c>
      <c r="H27" s="86">
        <f>+'[5]tableau 3'!H27+'[6]tableau 3'!H27+'[7]tableau 3'!H27+'[8]tableau 3'!H27</f>
        <v>0</v>
      </c>
      <c r="I27" s="87">
        <f>+'[5]tableau 3'!I27+'[6]tableau 3'!I27+'[7]tableau 3'!I27+'[8]tableau 3'!I27</f>
        <v>252100</v>
      </c>
      <c r="J27" s="87">
        <f>+'[5]tableau 3'!J27+'[6]tableau 3'!J27+'[7]tableau 3'!J27+'[8]tableau 3'!J27</f>
        <v>252100</v>
      </c>
      <c r="K27" s="75"/>
      <c r="L27" s="75"/>
      <c r="M27" s="97"/>
      <c r="N27" s="97"/>
      <c r="O27" s="97"/>
      <c r="P27" s="97"/>
      <c r="Q27" s="97"/>
      <c r="R27" s="97"/>
      <c r="S27" s="97"/>
    </row>
    <row r="28" spans="1:19" ht="15" customHeight="1" x14ac:dyDescent="0.3">
      <c r="A28" s="97"/>
      <c r="B28" s="98" t="s">
        <v>64</v>
      </c>
      <c r="C28" s="86">
        <f>+'[5]tableau 3'!C28+'[6]tableau 3'!C28+'[7]tableau 3'!C28+'[8]tableau 3'!C28</f>
        <v>0</v>
      </c>
      <c r="D28" s="82">
        <f>+'[5]tableau 3'!D28+'[6]tableau 3'!D28+'[7]tableau 3'!D28+'[8]tableau 3'!D28</f>
        <v>0</v>
      </c>
      <c r="E28" s="86">
        <f>+'[5]tableau 3'!E28+'[6]tableau 3'!E28+'[7]tableau 3'!E28+'[8]tableau 3'!E28</f>
        <v>0</v>
      </c>
      <c r="F28" s="86">
        <f>+'[5]tableau 3'!F28+'[6]tableau 3'!F28+'[7]tableau 3'!F28+'[8]tableau 3'!F28</f>
        <v>0</v>
      </c>
      <c r="G28" s="86">
        <f>+'[5]tableau 3'!G28+'[6]tableau 3'!G28+'[7]tableau 3'!G28+'[8]tableau 3'!G28</f>
        <v>0</v>
      </c>
      <c r="H28" s="86">
        <f>+'[5]tableau 3'!H28+'[6]tableau 3'!H28+'[7]tableau 3'!H28+'[8]tableau 3'!H28</f>
        <v>0</v>
      </c>
      <c r="I28" s="87">
        <f>+'[5]tableau 3'!I28+'[6]tableau 3'!I28+'[7]tableau 3'!I28+'[8]tableau 3'!I28</f>
        <v>0</v>
      </c>
      <c r="J28" s="87">
        <f>+'[5]tableau 3'!J28+'[6]tableau 3'!J28+'[7]tableau 3'!J28+'[8]tableau 3'!J28</f>
        <v>0</v>
      </c>
      <c r="K28" s="75"/>
      <c r="L28" s="75"/>
      <c r="M28" s="97"/>
      <c r="N28" s="97"/>
      <c r="O28" s="97"/>
      <c r="P28" s="97"/>
      <c r="Q28" s="97"/>
      <c r="R28" s="97"/>
      <c r="S28" s="97"/>
    </row>
    <row r="29" spans="1:19" ht="15" customHeight="1" x14ac:dyDescent="0.3">
      <c r="A29" s="97"/>
      <c r="B29" s="99" t="s">
        <v>65</v>
      </c>
      <c r="C29" s="100">
        <f t="shared" ref="C29:J29" si="2">C9+C25</f>
        <v>1172099</v>
      </c>
      <c r="D29" s="100">
        <f t="shared" si="2"/>
        <v>1172099</v>
      </c>
      <c r="E29" s="100">
        <f t="shared" si="2"/>
        <v>81220359</v>
      </c>
      <c r="F29" s="100">
        <f t="shared" si="2"/>
        <v>9495680</v>
      </c>
      <c r="G29" s="100">
        <f t="shared" si="2"/>
        <v>62231552</v>
      </c>
      <c r="H29" s="100">
        <f t="shared" si="2"/>
        <v>8711648</v>
      </c>
      <c r="I29" s="100">
        <f t="shared" si="2"/>
        <v>144624010</v>
      </c>
      <c r="J29" s="100">
        <f t="shared" si="2"/>
        <v>19379427</v>
      </c>
      <c r="K29" s="75"/>
      <c r="L29" s="75"/>
      <c r="M29" s="97"/>
      <c r="N29" s="101"/>
      <c r="O29" s="97"/>
      <c r="P29" s="97"/>
      <c r="Q29" s="97"/>
      <c r="R29" s="97"/>
      <c r="S29" s="97"/>
    </row>
    <row r="30" spans="1:19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75"/>
      <c r="L30" s="75"/>
      <c r="M30" s="97"/>
      <c r="N30" s="97"/>
      <c r="O30" s="97"/>
      <c r="P30" s="97"/>
      <c r="Q30" s="97"/>
      <c r="R30" s="97"/>
      <c r="S30" s="97"/>
    </row>
    <row r="31" spans="1:19" x14ac:dyDescent="0.3">
      <c r="A31" s="97"/>
      <c r="B31" s="97"/>
      <c r="C31" s="97"/>
      <c r="D31" s="97"/>
      <c r="E31" s="97"/>
      <c r="F31" s="97"/>
      <c r="G31" s="97"/>
      <c r="H31" s="102" t="s">
        <v>80</v>
      </c>
      <c r="I31" s="103"/>
      <c r="J31" s="104" t="str">
        <f>IF(K52-J29&gt;0,K52-J29," ")</f>
        <v xml:space="preserve"> </v>
      </c>
      <c r="K31" s="75"/>
      <c r="L31" s="75"/>
      <c r="M31" s="97"/>
      <c r="N31" s="101"/>
      <c r="O31" s="101"/>
      <c r="P31" s="97"/>
      <c r="Q31" s="97"/>
      <c r="R31" s="97"/>
      <c r="S31" s="97"/>
    </row>
    <row r="32" spans="1:19" ht="13.5" customHeight="1" x14ac:dyDescent="0.3">
      <c r="A32" s="97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97"/>
      <c r="N32" s="97"/>
      <c r="O32" s="97"/>
      <c r="P32" s="97"/>
      <c r="Q32" s="97"/>
      <c r="R32" s="97"/>
      <c r="S32" s="97"/>
    </row>
    <row r="33" spans="1:19" ht="18" x14ac:dyDescent="0.3">
      <c r="A33" s="97"/>
      <c r="B33" s="105" t="s">
        <v>81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97"/>
      <c r="N33" s="97"/>
      <c r="O33" s="97"/>
      <c r="P33" s="97"/>
      <c r="Q33" s="97"/>
      <c r="R33" s="97"/>
      <c r="S33" s="97"/>
    </row>
    <row r="34" spans="1:19" x14ac:dyDescent="0.3">
      <c r="A34" s="97"/>
      <c r="B34" s="501" t="s">
        <v>82</v>
      </c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97"/>
      <c r="N34" s="97"/>
      <c r="O34" s="97"/>
      <c r="P34" s="97"/>
      <c r="Q34" s="97"/>
      <c r="R34" s="97"/>
      <c r="S34" s="97"/>
    </row>
    <row r="35" spans="1:19" x14ac:dyDescent="0.3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1:19" ht="30" customHeight="1" x14ac:dyDescent="0.3">
      <c r="A36" s="97"/>
      <c r="B36" s="502" t="s">
        <v>68</v>
      </c>
      <c r="C36" s="504" t="s">
        <v>83</v>
      </c>
      <c r="D36" s="505"/>
      <c r="E36" s="505"/>
      <c r="F36" s="505"/>
      <c r="G36" s="505"/>
      <c r="H36" s="505"/>
      <c r="I36" s="505"/>
      <c r="J36" s="505"/>
      <c r="K36" s="506"/>
      <c r="L36" s="71"/>
      <c r="M36" s="97"/>
      <c r="N36" s="97"/>
      <c r="O36" s="97"/>
      <c r="P36" s="97"/>
      <c r="Q36" s="97"/>
      <c r="R36" s="97"/>
      <c r="S36" s="97"/>
    </row>
    <row r="37" spans="1:19" ht="30" customHeight="1" x14ac:dyDescent="0.3">
      <c r="A37" s="97"/>
      <c r="B37" s="503"/>
      <c r="C37" s="504" t="s">
        <v>84</v>
      </c>
      <c r="D37" s="505"/>
      <c r="E37" s="505"/>
      <c r="F37" s="505"/>
      <c r="G37" s="506"/>
      <c r="H37" s="504" t="s">
        <v>85</v>
      </c>
      <c r="I37" s="505"/>
      <c r="J37" s="506"/>
      <c r="K37" s="507" t="s">
        <v>65</v>
      </c>
      <c r="L37" s="71"/>
      <c r="M37" s="97"/>
      <c r="N37" s="97"/>
      <c r="O37" s="97"/>
      <c r="P37" s="97"/>
      <c r="Q37" s="97"/>
      <c r="R37" s="97"/>
      <c r="S37" s="97"/>
    </row>
    <row r="38" spans="1:19" ht="60" x14ac:dyDescent="0.3">
      <c r="A38" s="97"/>
      <c r="B38" s="503"/>
      <c r="C38" s="254" t="s">
        <v>86</v>
      </c>
      <c r="D38" s="255" t="s">
        <v>87</v>
      </c>
      <c r="E38" s="255" t="s">
        <v>8</v>
      </c>
      <c r="F38" s="255" t="s">
        <v>88</v>
      </c>
      <c r="G38" s="256" t="s">
        <v>89</v>
      </c>
      <c r="H38" s="254" t="s">
        <v>90</v>
      </c>
      <c r="I38" s="255" t="s">
        <v>91</v>
      </c>
      <c r="J38" s="256" t="s">
        <v>92</v>
      </c>
      <c r="K38" s="508"/>
      <c r="L38" s="97"/>
      <c r="M38" s="97"/>
      <c r="N38" s="97"/>
      <c r="O38" s="97"/>
      <c r="P38" s="97"/>
      <c r="Q38" s="97"/>
      <c r="R38" s="97"/>
      <c r="S38" s="97"/>
    </row>
    <row r="39" spans="1:19" x14ac:dyDescent="0.3">
      <c r="A39" s="97"/>
      <c r="B39" s="106" t="s">
        <v>86</v>
      </c>
      <c r="C39" s="242">
        <f>'[5]tableau 3'!C39+'[6]tableau 3'!C39+'[7]tableau 3'!C39+'[8]tableau 3'!C39</f>
        <v>0</v>
      </c>
      <c r="D39" s="243">
        <f>'[5]tableau 3'!D39+'[6]tableau 3'!D39+'[7]tableau 3'!D39+'[8]tableau 3'!D39</f>
        <v>0</v>
      </c>
      <c r="E39" s="243">
        <f>'[5]tableau 3'!E39+'[6]tableau 3'!E39+'[7]tableau 3'!E39+'[8]tableau 3'!E39</f>
        <v>0</v>
      </c>
      <c r="F39" s="243">
        <f>'[5]tableau 3'!F39+'[6]tableau 3'!F39+'[7]tableau 3'!F39+'[8]tableau 3'!F39</f>
        <v>0</v>
      </c>
      <c r="G39" s="244">
        <f>'[5]tableau 3'!G39+'[6]tableau 3'!G39+'[7]tableau 3'!G39+'[8]tableau 3'!G39</f>
        <v>0</v>
      </c>
      <c r="H39" s="243">
        <f>'[5]tableau 3'!H39+'[6]tableau 3'!H39+'[7]tableau 3'!H39+'[8]tableau 3'!H39</f>
        <v>0</v>
      </c>
      <c r="I39" s="245">
        <f>'[5]tableau 3'!I39+'[6]tableau 3'!I39+'[7]tableau 3'!I39+'[8]tableau 3'!I39</f>
        <v>0</v>
      </c>
      <c r="J39" s="246">
        <f>'[5]tableau 3'!J39+'[6]tableau 3'!J39+'[7]tableau 3'!J39+'[8]tableau 3'!J39</f>
        <v>0</v>
      </c>
      <c r="K39" s="247">
        <f>SUM(C39:J39)</f>
        <v>0</v>
      </c>
      <c r="L39" s="97" t="s">
        <v>93</v>
      </c>
      <c r="M39" s="97"/>
      <c r="N39" s="97"/>
      <c r="O39" s="97"/>
      <c r="P39" s="97"/>
      <c r="Q39" s="97"/>
      <c r="R39" s="97"/>
      <c r="S39" s="97"/>
    </row>
    <row r="40" spans="1:19" x14ac:dyDescent="0.3">
      <c r="A40" s="97"/>
      <c r="B40" s="107" t="s">
        <v>94</v>
      </c>
      <c r="C40" s="242">
        <f>'[5]tableau 3'!C40+'[6]tableau 3'!C40+'[7]tableau 3'!C40+'[8]tableau 3'!C40</f>
        <v>0</v>
      </c>
      <c r="D40" s="243">
        <f>'[5]tableau 3'!D40+'[6]tableau 3'!D40+'[7]tableau 3'!D40+'[8]tableau 3'!D40</f>
        <v>0</v>
      </c>
      <c r="E40" s="243">
        <f>'[5]tableau 3'!E40+'[6]tableau 3'!E40+'[7]tableau 3'!E40+'[8]tableau 3'!E40</f>
        <v>0</v>
      </c>
      <c r="F40" s="243">
        <f>'[5]tableau 3'!F40+'[6]tableau 3'!F40+'[7]tableau 3'!F40+'[8]tableau 3'!F40</f>
        <v>0</v>
      </c>
      <c r="G40" s="244">
        <f>'[5]tableau 3'!G40+'[6]tableau 3'!G40+'[7]tableau 3'!G40+'[8]tableau 3'!G40</f>
        <v>687815</v>
      </c>
      <c r="H40" s="248">
        <f>'[5]tableau 3'!H40+'[6]tableau 3'!H40+'[7]tableau 3'!H40+'[8]tableau 3'!H40</f>
        <v>0</v>
      </c>
      <c r="I40" s="245">
        <f>'[5]tableau 3'!I40+'[6]tableau 3'!I40+'[7]tableau 3'!I40+'[8]tableau 3'!I40</f>
        <v>0</v>
      </c>
      <c r="J40" s="246">
        <f>'[5]tableau 3'!J40+'[6]tableau 3'!J40+'[7]tableau 3'!J40+'[8]tableau 3'!J40</f>
        <v>0</v>
      </c>
      <c r="K40" s="247">
        <f t="shared" ref="K40:K51" si="3">SUM(C40:J40)</f>
        <v>687815</v>
      </c>
      <c r="L40" s="97" t="s">
        <v>95</v>
      </c>
      <c r="M40" s="97"/>
      <c r="N40" s="97"/>
      <c r="O40" s="97"/>
      <c r="P40" s="97"/>
      <c r="Q40" s="97"/>
      <c r="R40" s="97"/>
      <c r="S40" s="97"/>
    </row>
    <row r="41" spans="1:19" x14ac:dyDescent="0.3">
      <c r="A41" s="97"/>
      <c r="B41" s="106" t="s">
        <v>96</v>
      </c>
      <c r="C41" s="242">
        <f>'[5]tableau 3'!C41+'[6]tableau 3'!C41+'[7]tableau 3'!C41+'[8]tableau 3'!C41</f>
        <v>0</v>
      </c>
      <c r="D41" s="243">
        <f>'[5]tableau 3'!D41+'[6]tableau 3'!D41+'[7]tableau 3'!D41+'[8]tableau 3'!D41</f>
        <v>0</v>
      </c>
      <c r="E41" s="243">
        <f>'[5]tableau 3'!E41+'[6]tableau 3'!E41+'[7]tableau 3'!E41+'[8]tableau 3'!E41</f>
        <v>0</v>
      </c>
      <c r="F41" s="243">
        <f>'[5]tableau 3'!F41+'[6]tableau 3'!F41+'[7]tableau 3'!F41+'[8]tableau 3'!F41</f>
        <v>0</v>
      </c>
      <c r="G41" s="244">
        <f>'[5]tableau 3'!G41+'[6]tableau 3'!G41+'[7]tableau 3'!G41+'[8]tableau 3'!G41</f>
        <v>168401</v>
      </c>
      <c r="H41" s="248">
        <f>'[5]tableau 3'!H41+'[6]tableau 3'!H41+'[7]tableau 3'!H41+'[8]tableau 3'!H41</f>
        <v>0</v>
      </c>
      <c r="I41" s="245">
        <f>'[5]tableau 3'!I41+'[6]tableau 3'!I41+'[7]tableau 3'!I41+'[8]tableau 3'!I41</f>
        <v>0</v>
      </c>
      <c r="J41" s="246">
        <f>'[5]tableau 3'!J41+'[6]tableau 3'!J41+'[7]tableau 3'!J41+'[8]tableau 3'!J41</f>
        <v>0</v>
      </c>
      <c r="K41" s="247">
        <f t="shared" si="3"/>
        <v>168401</v>
      </c>
      <c r="L41" s="97" t="s">
        <v>97</v>
      </c>
      <c r="M41" s="97"/>
      <c r="N41" s="97"/>
      <c r="O41" s="97"/>
      <c r="P41" s="97"/>
      <c r="Q41" s="97"/>
      <c r="R41" s="97"/>
      <c r="S41" s="97"/>
    </row>
    <row r="42" spans="1:19" x14ac:dyDescent="0.3">
      <c r="A42" s="97"/>
      <c r="B42" s="107" t="s">
        <v>98</v>
      </c>
      <c r="C42" s="242">
        <f>'[5]tableau 3'!C42+'[6]tableau 3'!C42+'[7]tableau 3'!C42+'[8]tableau 3'!C42</f>
        <v>0</v>
      </c>
      <c r="D42" s="243">
        <f>'[5]tableau 3'!D42+'[6]tableau 3'!D42+'[7]tableau 3'!D42+'[8]tableau 3'!D42</f>
        <v>0</v>
      </c>
      <c r="E42" s="243">
        <f>'[5]tableau 3'!E42+'[6]tableau 3'!E42+'[7]tableau 3'!E42+'[8]tableau 3'!E42</f>
        <v>0</v>
      </c>
      <c r="F42" s="243">
        <f>'[5]tableau 3'!F42+'[6]tableau 3'!F42+'[7]tableau 3'!F42+'[8]tableau 3'!F42</f>
        <v>0</v>
      </c>
      <c r="G42" s="244">
        <f>'[5]tableau 3'!G42+'[6]tableau 3'!G42+'[7]tableau 3'!G42+'[8]tableau 3'!G42</f>
        <v>10000</v>
      </c>
      <c r="H42" s="248">
        <f>'[5]tableau 3'!H42+'[6]tableau 3'!H42+'[7]tableau 3'!H42+'[8]tableau 3'!H42</f>
        <v>0</v>
      </c>
      <c r="I42" s="245">
        <f>'[5]tableau 3'!I42+'[6]tableau 3'!I42+'[7]tableau 3'!I42+'[8]tableau 3'!I42</f>
        <v>0</v>
      </c>
      <c r="J42" s="246">
        <f>'[5]tableau 3'!J42+'[6]tableau 3'!J42+'[7]tableau 3'!J42+'[8]tableau 3'!J42</f>
        <v>0</v>
      </c>
      <c r="K42" s="247">
        <f t="shared" si="3"/>
        <v>10000</v>
      </c>
      <c r="L42" s="97" t="s">
        <v>99</v>
      </c>
      <c r="M42" s="97"/>
      <c r="N42" s="97"/>
      <c r="O42" s="97"/>
      <c r="P42" s="97"/>
      <c r="Q42" s="97"/>
      <c r="R42" s="97"/>
      <c r="S42" s="97"/>
    </row>
    <row r="43" spans="1:19" x14ac:dyDescent="0.3">
      <c r="A43" s="97"/>
      <c r="B43" s="108" t="s">
        <v>100</v>
      </c>
      <c r="C43" s="249">
        <f>'[5]tableau 3'!C43+'[6]tableau 3'!C43+'[7]tableau 3'!C43+'[8]tableau 3'!C43</f>
        <v>0</v>
      </c>
      <c r="D43" s="250">
        <f>'[5]tableau 3'!D43+'[6]tableau 3'!D43+'[7]tableau 3'!D43+'[8]tableau 3'!D43</f>
        <v>0</v>
      </c>
      <c r="E43" s="250">
        <f>'[5]tableau 3'!E43+'[6]tableau 3'!E43+'[7]tableau 3'!E43+'[8]tableau 3'!E43</f>
        <v>0</v>
      </c>
      <c r="F43" s="250">
        <f>'[5]tableau 3'!F43+'[6]tableau 3'!F43+'[7]tableau 3'!F43+'[8]tableau 3'!F43</f>
        <v>0</v>
      </c>
      <c r="G43" s="244">
        <f>'[5]tableau 3'!G43+'[6]tableau 3'!G43+'[7]tableau 3'!G43+'[8]tableau 3'!G43</f>
        <v>0</v>
      </c>
      <c r="H43" s="248">
        <f>'[5]tableau 3'!H43+'[6]tableau 3'!H43+'[7]tableau 3'!H43+'[8]tableau 3'!H43</f>
        <v>0</v>
      </c>
      <c r="I43" s="245">
        <f>'[5]tableau 3'!I43+'[6]tableau 3'!I43+'[7]tableau 3'!I43+'[8]tableau 3'!I43</f>
        <v>0</v>
      </c>
      <c r="J43" s="246">
        <f>'[5]tableau 3'!J43+'[6]tableau 3'!J43+'[7]tableau 3'!J43+'[8]tableau 3'!J43</f>
        <v>0</v>
      </c>
      <c r="K43" s="247">
        <f t="shared" si="3"/>
        <v>0</v>
      </c>
      <c r="L43" s="97" t="s">
        <v>101</v>
      </c>
      <c r="M43" s="97"/>
      <c r="N43" s="97"/>
      <c r="O43" s="97"/>
      <c r="P43" s="97"/>
      <c r="Q43" s="97"/>
      <c r="R43" s="97"/>
      <c r="S43" s="97"/>
    </row>
    <row r="44" spans="1:19" x14ac:dyDescent="0.3">
      <c r="A44" s="97"/>
      <c r="B44" s="106" t="s">
        <v>102</v>
      </c>
      <c r="C44" s="242">
        <f>'[5]tableau 3'!C44+'[6]tableau 3'!C44+'[7]tableau 3'!C44+'[8]tableau 3'!C44</f>
        <v>0</v>
      </c>
      <c r="D44" s="243">
        <f>'[5]tableau 3'!D44+'[6]tableau 3'!D44+'[7]tableau 3'!D44+'[8]tableau 3'!D44</f>
        <v>0</v>
      </c>
      <c r="E44" s="243">
        <f>'[5]tableau 3'!E44+'[6]tableau 3'!E44+'[7]tableau 3'!E44+'[8]tableau 3'!E44</f>
        <v>0</v>
      </c>
      <c r="F44" s="243">
        <f>'[5]tableau 3'!F44+'[6]tableau 3'!F44+'[7]tableau 3'!F44+'[8]tableau 3'!F44</f>
        <v>0</v>
      </c>
      <c r="G44" s="244">
        <f>'[5]tableau 3'!G44+'[6]tableau 3'!G44+'[7]tableau 3'!G44+'[8]tableau 3'!G44</f>
        <v>0</v>
      </c>
      <c r="H44" s="248">
        <f>'[5]tableau 3'!H44+'[6]tableau 3'!H44+'[7]tableau 3'!H44+'[8]tableau 3'!H44</f>
        <v>0</v>
      </c>
      <c r="I44" s="245">
        <f>'[5]tableau 3'!I44+'[6]tableau 3'!I44+'[7]tableau 3'!I44+'[8]tableau 3'!I44</f>
        <v>0</v>
      </c>
      <c r="J44" s="246">
        <f>'[5]tableau 3'!J44+'[6]tableau 3'!J44+'[7]tableau 3'!J44+'[8]tableau 3'!J44</f>
        <v>0</v>
      </c>
      <c r="K44" s="247">
        <f t="shared" si="3"/>
        <v>0</v>
      </c>
      <c r="L44" s="97" t="s">
        <v>103</v>
      </c>
      <c r="M44" s="97"/>
      <c r="N44" s="97"/>
      <c r="O44" s="97"/>
      <c r="P44" s="97"/>
      <c r="Q44" s="97"/>
      <c r="R44" s="97"/>
      <c r="S44" s="97"/>
    </row>
    <row r="45" spans="1:19" x14ac:dyDescent="0.3">
      <c r="A45" s="97"/>
      <c r="B45" s="109" t="s">
        <v>104</v>
      </c>
      <c r="C45" s="242">
        <f>'[5]tableau 3'!C45+'[6]tableau 3'!C45+'[7]tableau 3'!C45+'[8]tableau 3'!C45</f>
        <v>0</v>
      </c>
      <c r="D45" s="243">
        <f>'[5]tableau 3'!D45+'[6]tableau 3'!D45+'[7]tableau 3'!D45+'[8]tableau 3'!D45</f>
        <v>0</v>
      </c>
      <c r="E45" s="243">
        <f>'[5]tableau 3'!E45+'[6]tableau 3'!E45+'[7]tableau 3'!E45+'[8]tableau 3'!E45</f>
        <v>0</v>
      </c>
      <c r="F45" s="243">
        <f>'[5]tableau 3'!F45+'[6]tableau 3'!F45+'[7]tableau 3'!F45+'[8]tableau 3'!F45</f>
        <v>0</v>
      </c>
      <c r="G45" s="244">
        <f>'[5]tableau 3'!G45+'[6]tableau 3'!G45+'[7]tableau 3'!G45+'[8]tableau 3'!G45</f>
        <v>0</v>
      </c>
      <c r="H45" s="413">
        <f>'[5]tableau 3'!H45+'[6]tableau 3'!H45+'[7]tableau 3'!H45+'[8]tableau 3'!H45</f>
        <v>5861075</v>
      </c>
      <c r="I45" s="414">
        <f>'[5]tableau 3'!I45+'[6]tableau 3'!I45+'[7]tableau 3'!I45+'[8]tableau 3'!I45</f>
        <v>0</v>
      </c>
      <c r="J45" s="246">
        <f>'[5]tableau 3'!J45+'[6]tableau 3'!J45+'[7]tableau 3'!J45+'[8]tableau 3'!J45</f>
        <v>0</v>
      </c>
      <c r="K45" s="247">
        <f t="shared" si="3"/>
        <v>5861075</v>
      </c>
      <c r="L45" s="97" t="s">
        <v>105</v>
      </c>
      <c r="M45" s="97"/>
      <c r="N45" s="97"/>
      <c r="O45" s="97"/>
      <c r="P45" s="97"/>
      <c r="Q45" s="97"/>
      <c r="R45" s="97"/>
      <c r="S45" s="97"/>
    </row>
    <row r="46" spans="1:19" x14ac:dyDescent="0.3">
      <c r="A46" s="97"/>
      <c r="B46" s="109" t="s">
        <v>106</v>
      </c>
      <c r="C46" s="242">
        <f>'[5]tableau 3'!C46+'[6]tableau 3'!C46+'[7]tableau 3'!C46+'[8]tableau 3'!C46</f>
        <v>0</v>
      </c>
      <c r="D46" s="243">
        <f>'[5]tableau 3'!D46+'[6]tableau 3'!D46+'[7]tableau 3'!D46+'[8]tableau 3'!D46</f>
        <v>0</v>
      </c>
      <c r="E46" s="243">
        <f>'[5]tableau 3'!E46+'[6]tableau 3'!E46+'[7]tableau 3'!E46+'[8]tableau 3'!E46</f>
        <v>0</v>
      </c>
      <c r="F46" s="243">
        <f>'[5]tableau 3'!F46+'[6]tableau 3'!F46+'[7]tableau 3'!F46+'[8]tableau 3'!F46</f>
        <v>0</v>
      </c>
      <c r="G46" s="244">
        <f>'[5]tableau 3'!G46+'[6]tableau 3'!G46+'[7]tableau 3'!G46+'[8]tableau 3'!G46</f>
        <v>0</v>
      </c>
      <c r="H46" s="413">
        <f>'[5]tableau 3'!H46+'[6]tableau 3'!H46+'[7]tableau 3'!H46+'[8]tableau 3'!H46</f>
        <v>393750</v>
      </c>
      <c r="I46" s="414">
        <f>'[5]tableau 3'!I46+'[6]tableau 3'!I46+'[7]tableau 3'!I46+'[8]tableau 3'!I46</f>
        <v>0</v>
      </c>
      <c r="J46" s="246">
        <f>'[5]tableau 3'!J46+'[6]tableau 3'!J46+'[7]tableau 3'!J46+'[8]tableau 3'!J46</f>
        <v>0</v>
      </c>
      <c r="K46" s="247">
        <f t="shared" si="3"/>
        <v>393750</v>
      </c>
      <c r="L46" s="97" t="s">
        <v>107</v>
      </c>
      <c r="M46" s="97"/>
      <c r="N46" s="97"/>
      <c r="O46" s="97"/>
      <c r="P46" s="97"/>
      <c r="Q46" s="97"/>
      <c r="R46" s="97"/>
      <c r="S46" s="97"/>
    </row>
    <row r="47" spans="1:19" x14ac:dyDescent="0.3">
      <c r="A47" s="97"/>
      <c r="B47" s="110" t="s">
        <v>108</v>
      </c>
      <c r="C47" s="249">
        <f>'[5]tableau 3'!C47+'[6]tableau 3'!C47+'[7]tableau 3'!C47+'[8]tableau 3'!C47</f>
        <v>0</v>
      </c>
      <c r="D47" s="243">
        <f>'[5]tableau 3'!D47+'[6]tableau 3'!D47+'[7]tableau 3'!D47+'[8]tableau 3'!D47</f>
        <v>0</v>
      </c>
      <c r="E47" s="250">
        <f>'[5]tableau 3'!E47+'[6]tableau 3'!E47+'[7]tableau 3'!E47+'[8]tableau 3'!E47</f>
        <v>0</v>
      </c>
      <c r="F47" s="243">
        <f>'[5]tableau 3'!F47+'[6]tableau 3'!F47+'[7]tableau 3'!F47+'[8]tableau 3'!F47</f>
        <v>243363</v>
      </c>
      <c r="G47" s="244">
        <f>'[5]tableau 3'!G47+'[6]tableau 3'!G47+'[7]tableau 3'!G47+'[8]tableau 3'!G47</f>
        <v>0</v>
      </c>
      <c r="H47" s="413">
        <f>'[5]tableau 3'!H47+'[6]tableau 3'!H47+'[7]tableau 3'!H47+'[8]tableau 3'!H47</f>
        <v>0</v>
      </c>
      <c r="I47" s="414">
        <f>'[5]tableau 3'!I47+'[6]tableau 3'!I47+'[7]tableau 3'!I47+'[8]tableau 3'!I47</f>
        <v>1280000</v>
      </c>
      <c r="J47" s="246">
        <f>'[5]tableau 3'!J47+'[6]tableau 3'!J47+'[7]tableau 3'!J47+'[8]tableau 3'!J47</f>
        <v>0</v>
      </c>
      <c r="K47" s="247">
        <f t="shared" si="3"/>
        <v>1523363</v>
      </c>
      <c r="L47" s="97" t="s">
        <v>109</v>
      </c>
      <c r="M47" s="97"/>
      <c r="N47" s="97"/>
      <c r="O47" s="97"/>
      <c r="P47" s="97"/>
      <c r="Q47" s="97"/>
      <c r="R47" s="97"/>
      <c r="S47" s="97"/>
    </row>
    <row r="48" spans="1:19" x14ac:dyDescent="0.3">
      <c r="A48" s="97"/>
      <c r="B48" s="110" t="s">
        <v>110</v>
      </c>
      <c r="C48" s="249">
        <f>'[5]tableau 3'!C48+'[6]tableau 3'!C48+'[7]tableau 3'!C48+'[8]tableau 3'!C48</f>
        <v>0</v>
      </c>
      <c r="D48" s="243">
        <f>'[5]tableau 3'!D48+'[6]tableau 3'!D48+'[7]tableau 3'!D48+'[8]tableau 3'!D48</f>
        <v>0</v>
      </c>
      <c r="E48" s="250">
        <f>'[5]tableau 3'!E48+'[6]tableau 3'!E48+'[7]tableau 3'!E48+'[8]tableau 3'!E48</f>
        <v>0</v>
      </c>
      <c r="F48" s="243">
        <f>'[5]tableau 3'!F48+'[6]tableau 3'!F48+'[7]tableau 3'!F48+'[8]tableau 3'!F48</f>
        <v>71430</v>
      </c>
      <c r="G48" s="251">
        <f>'[5]tableau 3'!G48+'[6]tableau 3'!G48+'[7]tableau 3'!G48+'[8]tableau 3'!G48</f>
        <v>0</v>
      </c>
      <c r="H48" s="413">
        <f>'[5]tableau 3'!H48+'[6]tableau 3'!H48+'[7]tableau 3'!H48+'[8]tableau 3'!H48</f>
        <v>0</v>
      </c>
      <c r="I48" s="414">
        <f>'[5]tableau 3'!I48+'[6]tableau 3'!I48+'[7]tableau 3'!I48+'[8]tableau 3'!I48</f>
        <v>0</v>
      </c>
      <c r="J48" s="246">
        <f>'[5]tableau 3'!J48+'[6]tableau 3'!J48+'[7]tableau 3'!J48+'[8]tableau 3'!J48</f>
        <v>0</v>
      </c>
      <c r="K48" s="247">
        <f t="shared" si="3"/>
        <v>71430</v>
      </c>
      <c r="L48" s="97" t="s">
        <v>111</v>
      </c>
      <c r="M48" s="97"/>
      <c r="N48" s="97"/>
      <c r="O48" s="97"/>
      <c r="P48" s="97"/>
      <c r="Q48" s="97"/>
      <c r="R48" s="97"/>
      <c r="S48" s="97"/>
    </row>
    <row r="49" spans="1:19" x14ac:dyDescent="0.3">
      <c r="A49" s="97"/>
      <c r="B49" s="109" t="s">
        <v>112</v>
      </c>
      <c r="C49" s="242">
        <f>'[5]tableau 3'!C49+'[6]tableau 3'!C49+'[7]tableau 3'!C49+'[8]tableau 3'!C49</f>
        <v>0</v>
      </c>
      <c r="D49" s="243">
        <f>'[5]tableau 3'!D49+'[6]tableau 3'!D49+'[7]tableau 3'!D49+'[8]tableau 3'!D49</f>
        <v>0</v>
      </c>
      <c r="E49" s="243">
        <f>'[5]tableau 3'!E49+'[6]tableau 3'!E49+'[7]tableau 3'!E49+'[8]tableau 3'!E49</f>
        <v>0</v>
      </c>
      <c r="F49" s="243">
        <f>'[5]tableau 3'!F49+'[6]tableau 3'!F49+'[7]tableau 3'!F49+'[8]tableau 3'!F49</f>
        <v>25000</v>
      </c>
      <c r="G49" s="244">
        <f>'[5]tableau 3'!G49+'[6]tableau 3'!G49+'[7]tableau 3'!G49+'[8]tableau 3'!G49</f>
        <v>0</v>
      </c>
      <c r="H49" s="413">
        <f>'[5]tableau 3'!H49+'[6]tableau 3'!H49+'[7]tableau 3'!H49+'[8]tableau 3'!H49</f>
        <v>0</v>
      </c>
      <c r="I49" s="414">
        <f>'[5]tableau 3'!I49+'[6]tableau 3'!I49+'[7]tableau 3'!I49+'[8]tableau 3'!I49</f>
        <v>1640000</v>
      </c>
      <c r="J49" s="246">
        <f>'[5]tableau 3'!J49+'[6]tableau 3'!J49+'[7]tableau 3'!J49+'[8]tableau 3'!J49</f>
        <v>0</v>
      </c>
      <c r="K49" s="247">
        <f t="shared" si="3"/>
        <v>1665000</v>
      </c>
      <c r="L49" s="97" t="s">
        <v>113</v>
      </c>
      <c r="M49" s="97"/>
      <c r="N49" s="97"/>
      <c r="O49" s="97"/>
      <c r="P49" s="97"/>
      <c r="Q49" s="97"/>
      <c r="R49" s="97"/>
      <c r="S49" s="97"/>
    </row>
    <row r="50" spans="1:19" x14ac:dyDescent="0.3">
      <c r="A50" s="97"/>
      <c r="B50" s="109" t="s">
        <v>114</v>
      </c>
      <c r="C50" s="242">
        <f>'[5]tableau 3'!C50+'[6]tableau 3'!C50+'[7]tableau 3'!C50+'[8]tableau 3'!C50</f>
        <v>0</v>
      </c>
      <c r="D50" s="243">
        <f>'[5]tableau 3'!D50+'[6]tableau 3'!D50+'[7]tableau 3'!D50+'[8]tableau 3'!D50</f>
        <v>0</v>
      </c>
      <c r="E50" s="243">
        <f>'[5]tableau 3'!E50+'[6]tableau 3'!E50+'[7]tableau 3'!E50+'[8]tableau 3'!E50</f>
        <v>0</v>
      </c>
      <c r="F50" s="243">
        <f>'[5]tableau 3'!F50+'[6]tableau 3'!F50+'[7]tableau 3'!F50+'[8]tableau 3'!F50</f>
        <v>0</v>
      </c>
      <c r="G50" s="244">
        <f>'[5]tableau 3'!G50+'[6]tableau 3'!G50+'[7]tableau 3'!G50+'[8]tableau 3'!G50</f>
        <v>0</v>
      </c>
      <c r="H50" s="248">
        <f>'[5]tableau 3'!H50+'[6]tableau 3'!H50+'[7]tableau 3'!H50+'[8]tableau 3'!H50</f>
        <v>0</v>
      </c>
      <c r="I50" s="245">
        <f>'[5]tableau 3'!I50+'[6]tableau 3'!I50+'[7]tableau 3'!I50+'[8]tableau 3'!I50</f>
        <v>0</v>
      </c>
      <c r="J50" s="246">
        <f>'[5]tableau 3'!J50+'[6]tableau 3'!J50+'[7]tableau 3'!J50+'[8]tableau 3'!J50</f>
        <v>0</v>
      </c>
      <c r="K50" s="247">
        <f t="shared" si="3"/>
        <v>0</v>
      </c>
      <c r="L50" s="97" t="s">
        <v>115</v>
      </c>
      <c r="M50" s="97"/>
      <c r="N50" s="97"/>
      <c r="O50" s="97"/>
      <c r="P50" s="97"/>
      <c r="Q50" s="97"/>
      <c r="R50" s="97"/>
      <c r="S50" s="97"/>
    </row>
    <row r="51" spans="1:19" x14ac:dyDescent="0.3">
      <c r="A51" s="97"/>
      <c r="B51" s="106" t="s">
        <v>116</v>
      </c>
      <c r="C51" s="242">
        <f>'[5]tableau 3'!C51+'[6]tableau 3'!C51+'[7]tableau 3'!C51+'[8]tableau 3'!C51</f>
        <v>0</v>
      </c>
      <c r="D51" s="243">
        <f>'[5]tableau 3'!D51+'[6]tableau 3'!D51+'[7]tableau 3'!D51+'[8]tableau 3'!D51</f>
        <v>1280000</v>
      </c>
      <c r="E51" s="243">
        <f>'[5]tableau 3'!E51+'[6]tableau 3'!E51+'[7]tableau 3'!E51+'[8]tableau 3'!E51</f>
        <v>0</v>
      </c>
      <c r="F51" s="243">
        <f>'[5]tableau 3'!F51+'[6]tableau 3'!F51+'[7]tableau 3'!F51+'[8]tableau 3'!F51</f>
        <v>2419015</v>
      </c>
      <c r="G51" s="244">
        <f>'[5]tableau 3'!G51+'[6]tableau 3'!G51+'[7]tableau 3'!G51+'[8]tableau 3'!G51</f>
        <v>2502945</v>
      </c>
      <c r="H51" s="248">
        <f>'[5]tableau 3'!H51+'[6]tableau 3'!H51+'[7]tableau 3'!H51+'[8]tableau 3'!H51</f>
        <v>70000</v>
      </c>
      <c r="I51" s="245">
        <f>'[5]tableau 3'!I51+'[6]tableau 3'!I51+'[7]tableau 3'!I51+'[8]tableau 3'!I51</f>
        <v>179626</v>
      </c>
      <c r="J51" s="246">
        <f>'[5]tableau 3'!J51+'[6]tableau 3'!J51+'[7]tableau 3'!J51+'[8]tableau 3'!J51</f>
        <v>0</v>
      </c>
      <c r="K51" s="247">
        <f t="shared" si="3"/>
        <v>6451586</v>
      </c>
      <c r="L51" s="97" t="s">
        <v>117</v>
      </c>
      <c r="M51" s="97"/>
      <c r="N51" s="97"/>
      <c r="O51" s="97"/>
      <c r="P51" s="97"/>
      <c r="Q51" s="97"/>
      <c r="R51" s="97"/>
      <c r="S51" s="97"/>
    </row>
    <row r="52" spans="1:19" x14ac:dyDescent="0.3">
      <c r="A52" s="97"/>
      <c r="B52" s="111" t="s">
        <v>65</v>
      </c>
      <c r="C52" s="112">
        <f>SUM(C39:C51)</f>
        <v>0</v>
      </c>
      <c r="D52" s="113">
        <f t="shared" ref="D52:J52" si="4">SUM(D39:D51)</f>
        <v>1280000</v>
      </c>
      <c r="E52" s="113">
        <f t="shared" si="4"/>
        <v>0</v>
      </c>
      <c r="F52" s="113">
        <f t="shared" si="4"/>
        <v>2758808</v>
      </c>
      <c r="G52" s="114">
        <f t="shared" si="4"/>
        <v>3369161</v>
      </c>
      <c r="H52" s="112">
        <f t="shared" si="4"/>
        <v>6324825</v>
      </c>
      <c r="I52" s="115">
        <f t="shared" si="4"/>
        <v>3099626</v>
      </c>
      <c r="J52" s="116">
        <f t="shared" si="4"/>
        <v>0</v>
      </c>
      <c r="K52" s="117">
        <f>SUM(K39:K51)</f>
        <v>16832420</v>
      </c>
      <c r="L52" s="97"/>
      <c r="M52" s="97"/>
      <c r="N52" s="101"/>
      <c r="O52" s="97"/>
      <c r="P52" s="97"/>
      <c r="Q52" s="97"/>
      <c r="R52" s="97"/>
      <c r="S52" s="97"/>
    </row>
    <row r="53" spans="1:19" x14ac:dyDescent="0.3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M53" s="97"/>
      <c r="N53" s="97"/>
      <c r="O53" s="97"/>
      <c r="P53" s="97"/>
      <c r="Q53" s="97"/>
      <c r="R53" s="97"/>
      <c r="S53" s="97"/>
    </row>
    <row r="54" spans="1:19" x14ac:dyDescent="0.3">
      <c r="A54" s="97"/>
      <c r="B54" s="71"/>
      <c r="C54" s="97"/>
      <c r="D54" s="71"/>
      <c r="E54" s="71"/>
      <c r="F54" s="71"/>
      <c r="G54" s="71"/>
      <c r="H54" s="71"/>
      <c r="I54" s="102" t="s">
        <v>118</v>
      </c>
      <c r="J54" s="103"/>
      <c r="K54" s="118">
        <f>IF(J29-K52&lt;0," ",J29-K52)</f>
        <v>2547007</v>
      </c>
      <c r="M54" s="97"/>
      <c r="N54" s="101"/>
      <c r="O54" s="97"/>
      <c r="P54" s="97"/>
      <c r="Q54" s="97"/>
      <c r="R54" s="97"/>
      <c r="S54" s="97"/>
    </row>
    <row r="55" spans="1:19" x14ac:dyDescent="0.3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M55" s="97"/>
      <c r="N55" s="97"/>
      <c r="O55" s="97"/>
      <c r="P55" s="97"/>
      <c r="Q55" s="97"/>
      <c r="R55" s="97"/>
      <c r="S55" s="97"/>
    </row>
    <row r="56" spans="1:19" x14ac:dyDescent="0.3">
      <c r="A56" s="97"/>
      <c r="B56" s="71" t="s">
        <v>119</v>
      </c>
      <c r="C56" s="71"/>
      <c r="D56" s="71"/>
      <c r="E56" s="71"/>
      <c r="F56" s="71"/>
      <c r="G56" s="71"/>
      <c r="H56" s="71"/>
      <c r="I56" s="71"/>
      <c r="J56" s="71"/>
      <c r="K56" s="71"/>
      <c r="M56" s="97"/>
      <c r="N56" s="97"/>
      <c r="O56" s="97"/>
      <c r="P56" s="97"/>
      <c r="Q56" s="97"/>
      <c r="R56" s="97"/>
      <c r="S56" s="97"/>
    </row>
    <row r="57" spans="1:19" x14ac:dyDescent="0.3">
      <c r="A57" s="97"/>
      <c r="B57" s="71" t="s">
        <v>120</v>
      </c>
      <c r="C57" s="71"/>
      <c r="D57" s="71"/>
      <c r="E57" s="71"/>
      <c r="F57" s="71"/>
      <c r="G57" s="71"/>
      <c r="H57" s="71"/>
      <c r="I57" s="71"/>
      <c r="J57" s="71"/>
      <c r="K57" s="71"/>
      <c r="P57" s="97"/>
      <c r="Q57" s="97"/>
      <c r="R57" s="97"/>
      <c r="S57" s="97"/>
    </row>
  </sheetData>
  <mergeCells count="14">
    <mergeCell ref="B34:L34"/>
    <mergeCell ref="B36:B38"/>
    <mergeCell ref="C36:K36"/>
    <mergeCell ref="C37:G37"/>
    <mergeCell ref="H37:J37"/>
    <mergeCell ref="K37:K38"/>
    <mergeCell ref="B4:J4"/>
    <mergeCell ref="B6:B8"/>
    <mergeCell ref="C6:J6"/>
    <mergeCell ref="C7:D7"/>
    <mergeCell ref="E7:F7"/>
    <mergeCell ref="G7:H7"/>
    <mergeCell ref="I7:J7"/>
    <mergeCell ref="C8:D8"/>
  </mergeCells>
  <pageMargins left="0.7" right="0.7" top="0.75" bottom="0.75" header="0.3" footer="0.3"/>
  <pageSetup paperSize="9" scale="5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22" workbookViewId="0">
      <selection activeCell="D28" sqref="D28"/>
    </sheetView>
  </sheetViews>
  <sheetFormatPr baseColWidth="10" defaultRowHeight="15" x14ac:dyDescent="0.25"/>
  <cols>
    <col min="1" max="1" width="55" bestFit="1" customWidth="1"/>
    <col min="2" max="2" width="10.140625" bestFit="1" customWidth="1"/>
    <col min="3" max="3" width="3" bestFit="1" customWidth="1"/>
    <col min="4" max="4" width="10.140625" bestFit="1" customWidth="1"/>
    <col min="5" max="5" width="52.42578125" bestFit="1" customWidth="1"/>
  </cols>
  <sheetData>
    <row r="1" spans="1:5" ht="18" x14ac:dyDescent="0.25">
      <c r="A1" s="510" t="s">
        <v>312</v>
      </c>
      <c r="B1" s="510"/>
      <c r="C1" s="510"/>
      <c r="D1" s="510"/>
      <c r="E1" s="510"/>
    </row>
    <row r="2" spans="1:5" ht="18" x14ac:dyDescent="0.25">
      <c r="A2" s="510" t="s">
        <v>139</v>
      </c>
      <c r="B2" s="510"/>
      <c r="C2" s="510"/>
      <c r="D2" s="510"/>
      <c r="E2" s="510"/>
    </row>
    <row r="3" spans="1:5" x14ac:dyDescent="0.25">
      <c r="A3" s="172"/>
      <c r="B3" s="173"/>
      <c r="C3" s="172"/>
      <c r="D3" s="173"/>
      <c r="E3" s="172"/>
    </row>
    <row r="4" spans="1:5" x14ac:dyDescent="0.25">
      <c r="A4" s="511" t="s">
        <v>0</v>
      </c>
      <c r="B4" s="511"/>
      <c r="C4" s="511"/>
      <c r="D4" s="511"/>
      <c r="E4" s="511"/>
    </row>
    <row r="5" spans="1:5" ht="23.25" x14ac:dyDescent="0.25">
      <c r="A5" s="174"/>
      <c r="B5" s="175"/>
      <c r="C5" s="174"/>
      <c r="D5" s="175"/>
      <c r="E5" s="174"/>
    </row>
    <row r="6" spans="1:5" ht="15.75" x14ac:dyDescent="0.3">
      <c r="A6" s="97"/>
      <c r="B6" s="97"/>
      <c r="C6" s="97"/>
      <c r="D6" s="97"/>
      <c r="E6" s="97"/>
    </row>
    <row r="7" spans="1:5" ht="18" x14ac:dyDescent="0.25">
      <c r="A7" s="512" t="s">
        <v>140</v>
      </c>
      <c r="B7" s="513"/>
      <c r="C7" s="176"/>
      <c r="D7" s="512" t="s">
        <v>141</v>
      </c>
      <c r="E7" s="513"/>
    </row>
    <row r="8" spans="1:5" x14ac:dyDescent="0.25">
      <c r="A8" s="177"/>
      <c r="B8" s="178"/>
      <c r="C8" s="179"/>
      <c r="D8" s="178"/>
      <c r="E8" s="180"/>
    </row>
    <row r="9" spans="1:5" x14ac:dyDescent="0.25">
      <c r="A9" s="181" t="s">
        <v>142</v>
      </c>
      <c r="B9" s="178">
        <f>'tableau 2'!F27</f>
        <v>2547007</v>
      </c>
      <c r="C9" s="179"/>
      <c r="D9" s="178">
        <f>IF([9]tab_destination_origine!I31=" ",0,[9]tab_destination_origine!I31)</f>
        <v>0</v>
      </c>
      <c r="E9" s="182" t="s">
        <v>143</v>
      </c>
    </row>
    <row r="10" spans="1:5" x14ac:dyDescent="0.25">
      <c r="A10" s="183" t="s">
        <v>144</v>
      </c>
      <c r="B10" s="184">
        <f>'[5]tableau 2'!$F$27</f>
        <v>696391</v>
      </c>
      <c r="C10" s="179"/>
      <c r="D10" s="184"/>
      <c r="E10" s="185" t="s">
        <v>144</v>
      </c>
    </row>
    <row r="11" spans="1:5" x14ac:dyDescent="0.25">
      <c r="A11" s="183" t="s">
        <v>230</v>
      </c>
      <c r="B11" s="184"/>
      <c r="C11" s="179"/>
      <c r="D11" s="184"/>
      <c r="E11" s="185" t="s">
        <v>145</v>
      </c>
    </row>
    <row r="12" spans="1:5" x14ac:dyDescent="0.25">
      <c r="A12" s="183" t="s">
        <v>231</v>
      </c>
      <c r="B12" s="184">
        <f>'[6]tableau 2'!$F$27</f>
        <v>1850616</v>
      </c>
      <c r="C12" s="179"/>
      <c r="D12" s="184"/>
      <c r="E12" s="185" t="s">
        <v>146</v>
      </c>
    </row>
    <row r="13" spans="1:5" x14ac:dyDescent="0.25">
      <c r="A13" s="183" t="s">
        <v>229</v>
      </c>
      <c r="B13" s="184"/>
      <c r="C13" s="179"/>
      <c r="D13" s="184"/>
      <c r="E13" s="185" t="s">
        <v>147</v>
      </c>
    </row>
    <row r="14" spans="1:5" x14ac:dyDescent="0.25">
      <c r="A14" s="183" t="s">
        <v>148</v>
      </c>
      <c r="B14" s="184"/>
      <c r="C14" s="179"/>
      <c r="D14" s="184"/>
      <c r="E14" s="185" t="s">
        <v>148</v>
      </c>
    </row>
    <row r="15" spans="1:5" x14ac:dyDescent="0.25">
      <c r="A15" s="181"/>
      <c r="B15" s="184"/>
      <c r="C15" s="179"/>
      <c r="D15" s="184"/>
      <c r="E15" s="182"/>
    </row>
    <row r="16" spans="1:5" x14ac:dyDescent="0.25">
      <c r="A16" s="181" t="s">
        <v>149</v>
      </c>
      <c r="B16" s="184"/>
      <c r="C16" s="179"/>
      <c r="D16" s="184"/>
      <c r="E16" s="182" t="s">
        <v>150</v>
      </c>
    </row>
    <row r="17" spans="1:5" x14ac:dyDescent="0.25">
      <c r="A17" s="186"/>
      <c r="B17" s="184"/>
      <c r="C17" s="179"/>
      <c r="D17" s="184"/>
      <c r="E17" s="106"/>
    </row>
    <row r="18" spans="1:5" ht="30" x14ac:dyDescent="0.25">
      <c r="A18" s="187" t="s">
        <v>151</v>
      </c>
      <c r="B18" s="184">
        <f>+'tableau 5'!E12</f>
        <v>617850</v>
      </c>
      <c r="C18" s="179"/>
      <c r="D18" s="184">
        <f>+'tableau 5'!F12</f>
        <v>617850</v>
      </c>
      <c r="E18" s="106" t="s">
        <v>152</v>
      </c>
    </row>
    <row r="19" spans="1:5" x14ac:dyDescent="0.25">
      <c r="A19" s="187"/>
      <c r="B19" s="184"/>
      <c r="C19" s="179"/>
      <c r="D19" s="184"/>
      <c r="E19" s="106"/>
    </row>
    <row r="20" spans="1:5" ht="30" x14ac:dyDescent="0.25">
      <c r="A20" s="187" t="s">
        <v>153</v>
      </c>
      <c r="B20" s="184"/>
      <c r="C20" s="179"/>
      <c r="D20" s="184"/>
      <c r="E20" s="106" t="s">
        <v>154</v>
      </c>
    </row>
    <row r="21" spans="1:5" x14ac:dyDescent="0.25">
      <c r="A21" s="181"/>
      <c r="B21" s="184"/>
      <c r="C21" s="179"/>
      <c r="D21" s="184"/>
      <c r="E21" s="182"/>
    </row>
    <row r="22" spans="1:5" s="196" customFormat="1" ht="30.75" thickBot="1" x14ac:dyDescent="0.3">
      <c r="A22" s="197" t="s">
        <v>155</v>
      </c>
      <c r="B22" s="198">
        <f>B9+B16+B18+B20</f>
        <v>3164857</v>
      </c>
      <c r="C22" s="195" t="s">
        <v>156</v>
      </c>
      <c r="D22" s="198">
        <f>D9+D16+D18+D20</f>
        <v>617850</v>
      </c>
      <c r="E22" s="201" t="s">
        <v>157</v>
      </c>
    </row>
    <row r="23" spans="1:5" s="196" customFormat="1" x14ac:dyDescent="0.25">
      <c r="A23" s="199" t="s">
        <v>158</v>
      </c>
      <c r="B23" s="200">
        <f>IF((D22-B22)&lt;0,0,D22-B22)</f>
        <v>0</v>
      </c>
      <c r="C23" s="195" t="s">
        <v>159</v>
      </c>
      <c r="D23" s="200">
        <f>IF((B22-D22)&gt;0,B22-D22,0)</f>
        <v>2547007</v>
      </c>
      <c r="E23" s="202" t="s">
        <v>158</v>
      </c>
    </row>
    <row r="24" spans="1:5" x14ac:dyDescent="0.25">
      <c r="A24" s="181"/>
      <c r="B24" s="184"/>
      <c r="C24" s="188"/>
      <c r="D24" s="184"/>
      <c r="E24" s="182"/>
    </row>
    <row r="25" spans="1:5" x14ac:dyDescent="0.25">
      <c r="A25" s="183" t="s">
        <v>160</v>
      </c>
      <c r="B25" s="189">
        <v>0</v>
      </c>
      <c r="C25" s="188" t="s">
        <v>159</v>
      </c>
      <c r="D25" s="189">
        <f>B12+B18-D18</f>
        <v>1850616</v>
      </c>
      <c r="E25" s="185" t="s">
        <v>161</v>
      </c>
    </row>
    <row r="26" spans="1:5" x14ac:dyDescent="0.25">
      <c r="A26" s="190"/>
      <c r="B26" s="189"/>
      <c r="C26" s="188"/>
      <c r="D26" s="189"/>
      <c r="E26" s="191"/>
    </row>
    <row r="27" spans="1:5" x14ac:dyDescent="0.25">
      <c r="A27" s="192" t="s">
        <v>162</v>
      </c>
      <c r="B27" s="193"/>
      <c r="C27" s="188" t="s">
        <v>159</v>
      </c>
      <c r="D27" s="193">
        <f>D23-D25</f>
        <v>696391</v>
      </c>
      <c r="E27" s="194" t="s">
        <v>163</v>
      </c>
    </row>
    <row r="28" spans="1:5" x14ac:dyDescent="0.25">
      <c r="A28" s="186"/>
      <c r="B28" s="184"/>
      <c r="C28" s="179"/>
      <c r="D28" s="184"/>
      <c r="E28" s="106"/>
    </row>
    <row r="29" spans="1:5" s="196" customFormat="1" x14ac:dyDescent="0.25">
      <c r="A29" s="203" t="s">
        <v>164</v>
      </c>
      <c r="B29" s="204">
        <f>B22+B23</f>
        <v>3164857</v>
      </c>
      <c r="C29" s="195" t="s">
        <v>156</v>
      </c>
      <c r="D29" s="204">
        <f>D22+D23</f>
        <v>3164857</v>
      </c>
      <c r="E29" s="205" t="s">
        <v>165</v>
      </c>
    </row>
    <row r="30" spans="1:5" ht="15.75" x14ac:dyDescent="0.3">
      <c r="A30" s="97"/>
      <c r="B30" s="97"/>
      <c r="C30" s="97"/>
      <c r="D30" s="97"/>
      <c r="E30" s="97"/>
    </row>
    <row r="31" spans="1:5" x14ac:dyDescent="0.25">
      <c r="A31" s="509" t="s">
        <v>166</v>
      </c>
      <c r="B31" s="509"/>
      <c r="C31" s="509"/>
      <c r="D31" s="509"/>
      <c r="E31" s="509"/>
    </row>
    <row r="32" spans="1:5" ht="15.75" x14ac:dyDescent="0.3">
      <c r="A32" s="171" t="s">
        <v>167</v>
      </c>
      <c r="B32" s="71"/>
      <c r="C32" s="71"/>
      <c r="D32" s="71"/>
      <c r="E32" s="71"/>
    </row>
    <row r="33" spans="1:5" ht="15.75" x14ac:dyDescent="0.3">
      <c r="A33" s="71" t="s">
        <v>168</v>
      </c>
      <c r="B33" s="71"/>
      <c r="C33" s="71"/>
      <c r="D33" s="71"/>
      <c r="E33" s="71"/>
    </row>
    <row r="34" spans="1:5" ht="15.75" x14ac:dyDescent="0.3">
      <c r="A34" s="71" t="s">
        <v>169</v>
      </c>
      <c r="B34" s="71"/>
      <c r="C34" s="71"/>
      <c r="D34" s="71"/>
      <c r="E34" s="71"/>
    </row>
  </sheetData>
  <mergeCells count="6">
    <mergeCell ref="A31:E31"/>
    <mergeCell ref="A1:E1"/>
    <mergeCell ref="A2:E2"/>
    <mergeCell ref="A4:E4"/>
    <mergeCell ref="A7:B7"/>
    <mergeCell ref="D7:E7"/>
  </mergeCells>
  <pageMargins left="0.31496062992125984" right="0.11811023622047245" top="0.35433070866141736" bottom="0.35433070866141736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7" workbookViewId="0">
      <selection activeCell="E10" sqref="E10"/>
    </sheetView>
  </sheetViews>
  <sheetFormatPr baseColWidth="10" defaultRowHeight="15" x14ac:dyDescent="0.25"/>
  <cols>
    <col min="2" max="2" width="27.28515625" bestFit="1" customWidth="1"/>
    <col min="5" max="5" width="15.140625" customWidth="1"/>
    <col min="6" max="6" width="19" customWidth="1"/>
  </cols>
  <sheetData>
    <row r="1" spans="1:8" ht="18" x14ac:dyDescent="0.35">
      <c r="A1" s="206"/>
      <c r="B1" s="514" t="s">
        <v>170</v>
      </c>
      <c r="C1" s="514"/>
      <c r="D1" s="514"/>
      <c r="E1" s="514"/>
      <c r="F1" s="514"/>
      <c r="G1" s="207"/>
      <c r="H1" s="57"/>
    </row>
    <row r="2" spans="1:8" ht="18" x14ac:dyDescent="0.35">
      <c r="A2" s="206"/>
      <c r="B2" s="514" t="s">
        <v>315</v>
      </c>
      <c r="C2" s="514"/>
      <c r="D2" s="514"/>
      <c r="E2" s="514"/>
      <c r="F2" s="514"/>
      <c r="G2" s="207"/>
      <c r="H2" s="57"/>
    </row>
    <row r="3" spans="1:8" ht="18.75" x14ac:dyDescent="0.3">
      <c r="A3" s="71"/>
      <c r="B3" s="46"/>
      <c r="C3" s="46"/>
      <c r="D3" s="46"/>
      <c r="E3" s="46"/>
      <c r="F3" s="46"/>
      <c r="G3" s="208"/>
      <c r="H3" s="209"/>
    </row>
    <row r="4" spans="1:8" ht="23.25" x14ac:dyDescent="0.25">
      <c r="A4" s="210"/>
      <c r="B4" s="482" t="s">
        <v>43</v>
      </c>
      <c r="C4" s="482"/>
      <c r="D4" s="482"/>
      <c r="E4" s="482"/>
      <c r="F4" s="482"/>
      <c r="G4" s="211"/>
      <c r="H4" s="212"/>
    </row>
    <row r="5" spans="1:8" ht="23.25" x14ac:dyDescent="0.3">
      <c r="A5" s="74"/>
      <c r="B5" s="213"/>
      <c r="C5" s="213"/>
      <c r="D5" s="213"/>
      <c r="E5" s="213"/>
      <c r="F5" s="213"/>
      <c r="G5" s="214"/>
      <c r="H5" s="71"/>
    </row>
    <row r="6" spans="1:8" ht="18" x14ac:dyDescent="0.3">
      <c r="A6" s="71"/>
      <c r="B6" s="515" t="s">
        <v>171</v>
      </c>
      <c r="C6" s="515"/>
      <c r="D6" s="515"/>
      <c r="E6" s="515"/>
      <c r="F6" s="515"/>
      <c r="G6" s="215"/>
      <c r="H6" s="71"/>
    </row>
    <row r="7" spans="1:8" ht="18.75" thickBot="1" x14ac:dyDescent="0.35">
      <c r="A7" s="71"/>
      <c r="B7" s="215"/>
      <c r="C7" s="215"/>
      <c r="D7" s="215"/>
      <c r="E7" s="215"/>
      <c r="F7" s="215"/>
      <c r="G7" s="215"/>
      <c r="H7" s="71"/>
    </row>
    <row r="8" spans="1:8" ht="30.75" thickBot="1" x14ac:dyDescent="0.35">
      <c r="A8" s="71"/>
      <c r="B8" s="223" t="s">
        <v>172</v>
      </c>
      <c r="C8" s="223" t="s">
        <v>173</v>
      </c>
      <c r="D8" s="223" t="s">
        <v>174</v>
      </c>
      <c r="E8" s="224" t="s">
        <v>175</v>
      </c>
      <c r="F8" s="224" t="s">
        <v>176</v>
      </c>
      <c r="G8" s="71"/>
      <c r="H8" s="71"/>
    </row>
    <row r="9" spans="1:8" ht="15.75" x14ac:dyDescent="0.3">
      <c r="A9" s="71"/>
      <c r="B9" s="218" t="s">
        <v>227</v>
      </c>
      <c r="C9" s="218" t="s">
        <v>177</v>
      </c>
      <c r="D9" s="218"/>
      <c r="E9" s="219">
        <v>171600</v>
      </c>
      <c r="F9" s="219">
        <v>171600</v>
      </c>
      <c r="G9" s="71"/>
      <c r="H9" s="71"/>
    </row>
    <row r="10" spans="1:8" ht="15.75" x14ac:dyDescent="0.3">
      <c r="A10" s="71"/>
      <c r="B10" s="218" t="s">
        <v>232</v>
      </c>
      <c r="C10" s="218" t="s">
        <v>233</v>
      </c>
      <c r="D10" s="218"/>
      <c r="E10" s="219">
        <f>78750*3</f>
        <v>236250</v>
      </c>
      <c r="F10" s="219">
        <f>78750*3</f>
        <v>236250</v>
      </c>
      <c r="G10" s="71"/>
      <c r="H10" s="71"/>
    </row>
    <row r="11" spans="1:8" ht="16.5" thickBot="1" x14ac:dyDescent="0.35">
      <c r="A11" s="71"/>
      <c r="B11" s="216" t="s">
        <v>228</v>
      </c>
      <c r="C11" s="218" t="s">
        <v>178</v>
      </c>
      <c r="D11" s="216"/>
      <c r="E11" s="217">
        <v>210000</v>
      </c>
      <c r="F11" s="217">
        <v>210000</v>
      </c>
      <c r="G11" s="71"/>
      <c r="H11" s="71"/>
    </row>
    <row r="12" spans="1:8" ht="16.5" thickBot="1" x14ac:dyDescent="0.35">
      <c r="A12" s="71"/>
      <c r="B12" s="225" t="s">
        <v>179</v>
      </c>
      <c r="C12" s="226"/>
      <c r="D12" s="226"/>
      <c r="E12" s="227">
        <f>SUM(E9:E11)</f>
        <v>617850</v>
      </c>
      <c r="F12" s="227">
        <f>SUM(F9:F11)</f>
        <v>617850</v>
      </c>
      <c r="G12" s="71"/>
      <c r="H12" s="71"/>
    </row>
    <row r="13" spans="1:8" ht="15.75" x14ac:dyDescent="0.3">
      <c r="A13" s="10"/>
      <c r="B13" s="220"/>
      <c r="C13" s="220"/>
      <c r="D13" s="220"/>
      <c r="E13" s="221" t="s">
        <v>180</v>
      </c>
      <c r="F13" s="222"/>
      <c r="G13" s="10"/>
      <c r="H13" s="10"/>
    </row>
    <row r="14" spans="1:8" ht="15.75" x14ac:dyDescent="0.3">
      <c r="A14" s="10"/>
      <c r="B14" s="516" t="s">
        <v>181</v>
      </c>
      <c r="C14" s="516"/>
      <c r="D14" s="516"/>
      <c r="E14" s="516"/>
      <c r="F14" s="516"/>
      <c r="G14" s="10"/>
      <c r="H14" s="10"/>
    </row>
    <row r="15" spans="1:8" x14ac:dyDescent="0.25">
      <c r="A15" s="10"/>
      <c r="B15" s="10"/>
      <c r="C15" s="10"/>
      <c r="D15" s="10"/>
      <c r="E15" s="19" t="s">
        <v>182</v>
      </c>
      <c r="F15" s="19" t="s">
        <v>183</v>
      </c>
      <c r="G15" s="10"/>
      <c r="H15" s="10"/>
    </row>
  </sheetData>
  <mergeCells count="5">
    <mergeCell ref="B1:F1"/>
    <mergeCell ref="B2:F2"/>
    <mergeCell ref="B4:F4"/>
    <mergeCell ref="B6:F6"/>
    <mergeCell ref="B14:F14"/>
  </mergeCells>
  <pageMargins left="0.11811023622047245" right="0" top="0.15748031496062992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opLeftCell="A43" workbookViewId="0">
      <selection activeCell="D38" sqref="D38"/>
    </sheetView>
  </sheetViews>
  <sheetFormatPr baseColWidth="10" defaultRowHeight="15" x14ac:dyDescent="0.25"/>
  <cols>
    <col min="1" max="1" width="87.85546875" style="10" customWidth="1"/>
    <col min="2" max="2" width="14" style="10" customWidth="1"/>
    <col min="3" max="3" width="50.7109375" style="10" customWidth="1"/>
    <col min="4" max="4" width="14" style="10" customWidth="1"/>
    <col min="5" max="256" width="11.42578125" style="10"/>
    <col min="257" max="257" width="87.85546875" style="10" customWidth="1"/>
    <col min="258" max="258" width="14" style="10" customWidth="1"/>
    <col min="259" max="259" width="50.7109375" style="10" customWidth="1"/>
    <col min="260" max="260" width="14" style="10" customWidth="1"/>
    <col min="261" max="512" width="11.42578125" style="10"/>
    <col min="513" max="513" width="87.85546875" style="10" customWidth="1"/>
    <col min="514" max="514" width="14" style="10" customWidth="1"/>
    <col min="515" max="515" width="50.7109375" style="10" customWidth="1"/>
    <col min="516" max="516" width="14" style="10" customWidth="1"/>
    <col min="517" max="768" width="11.42578125" style="10"/>
    <col min="769" max="769" width="87.85546875" style="10" customWidth="1"/>
    <col min="770" max="770" width="14" style="10" customWidth="1"/>
    <col min="771" max="771" width="50.7109375" style="10" customWidth="1"/>
    <col min="772" max="772" width="14" style="10" customWidth="1"/>
    <col min="773" max="1024" width="11.42578125" style="10"/>
    <col min="1025" max="1025" width="87.85546875" style="10" customWidth="1"/>
    <col min="1026" max="1026" width="14" style="10" customWidth="1"/>
    <col min="1027" max="1027" width="50.7109375" style="10" customWidth="1"/>
    <col min="1028" max="1028" width="14" style="10" customWidth="1"/>
    <col min="1029" max="1280" width="11.42578125" style="10"/>
    <col min="1281" max="1281" width="87.85546875" style="10" customWidth="1"/>
    <col min="1282" max="1282" width="14" style="10" customWidth="1"/>
    <col min="1283" max="1283" width="50.7109375" style="10" customWidth="1"/>
    <col min="1284" max="1284" width="14" style="10" customWidth="1"/>
    <col min="1285" max="1536" width="11.42578125" style="10"/>
    <col min="1537" max="1537" width="87.85546875" style="10" customWidth="1"/>
    <col min="1538" max="1538" width="14" style="10" customWidth="1"/>
    <col min="1539" max="1539" width="50.7109375" style="10" customWidth="1"/>
    <col min="1540" max="1540" width="14" style="10" customWidth="1"/>
    <col min="1541" max="1792" width="11.42578125" style="10"/>
    <col min="1793" max="1793" width="87.85546875" style="10" customWidth="1"/>
    <col min="1794" max="1794" width="14" style="10" customWidth="1"/>
    <col min="1795" max="1795" width="50.7109375" style="10" customWidth="1"/>
    <col min="1796" max="1796" width="14" style="10" customWidth="1"/>
    <col min="1797" max="2048" width="11.42578125" style="10"/>
    <col min="2049" max="2049" width="87.85546875" style="10" customWidth="1"/>
    <col min="2050" max="2050" width="14" style="10" customWidth="1"/>
    <col min="2051" max="2051" width="50.7109375" style="10" customWidth="1"/>
    <col min="2052" max="2052" width="14" style="10" customWidth="1"/>
    <col min="2053" max="2304" width="11.42578125" style="10"/>
    <col min="2305" max="2305" width="87.85546875" style="10" customWidth="1"/>
    <col min="2306" max="2306" width="14" style="10" customWidth="1"/>
    <col min="2307" max="2307" width="50.7109375" style="10" customWidth="1"/>
    <col min="2308" max="2308" width="14" style="10" customWidth="1"/>
    <col min="2309" max="2560" width="11.42578125" style="10"/>
    <col min="2561" max="2561" width="87.85546875" style="10" customWidth="1"/>
    <col min="2562" max="2562" width="14" style="10" customWidth="1"/>
    <col min="2563" max="2563" width="50.7109375" style="10" customWidth="1"/>
    <col min="2564" max="2564" width="14" style="10" customWidth="1"/>
    <col min="2565" max="2816" width="11.42578125" style="10"/>
    <col min="2817" max="2817" width="87.85546875" style="10" customWidth="1"/>
    <col min="2818" max="2818" width="14" style="10" customWidth="1"/>
    <col min="2819" max="2819" width="50.7109375" style="10" customWidth="1"/>
    <col min="2820" max="2820" width="14" style="10" customWidth="1"/>
    <col min="2821" max="3072" width="11.42578125" style="10"/>
    <col min="3073" max="3073" width="87.85546875" style="10" customWidth="1"/>
    <col min="3074" max="3074" width="14" style="10" customWidth="1"/>
    <col min="3075" max="3075" width="50.7109375" style="10" customWidth="1"/>
    <col min="3076" max="3076" width="14" style="10" customWidth="1"/>
    <col min="3077" max="3328" width="11.42578125" style="10"/>
    <col min="3329" max="3329" width="87.85546875" style="10" customWidth="1"/>
    <col min="3330" max="3330" width="14" style="10" customWidth="1"/>
    <col min="3331" max="3331" width="50.7109375" style="10" customWidth="1"/>
    <col min="3332" max="3332" width="14" style="10" customWidth="1"/>
    <col min="3333" max="3584" width="11.42578125" style="10"/>
    <col min="3585" max="3585" width="87.85546875" style="10" customWidth="1"/>
    <col min="3586" max="3586" width="14" style="10" customWidth="1"/>
    <col min="3587" max="3587" width="50.7109375" style="10" customWidth="1"/>
    <col min="3588" max="3588" width="14" style="10" customWidth="1"/>
    <col min="3589" max="3840" width="11.42578125" style="10"/>
    <col min="3841" max="3841" width="87.85546875" style="10" customWidth="1"/>
    <col min="3842" max="3842" width="14" style="10" customWidth="1"/>
    <col min="3843" max="3843" width="50.7109375" style="10" customWidth="1"/>
    <col min="3844" max="3844" width="14" style="10" customWidth="1"/>
    <col min="3845" max="4096" width="11.42578125" style="10"/>
    <col min="4097" max="4097" width="87.85546875" style="10" customWidth="1"/>
    <col min="4098" max="4098" width="14" style="10" customWidth="1"/>
    <col min="4099" max="4099" width="50.7109375" style="10" customWidth="1"/>
    <col min="4100" max="4100" width="14" style="10" customWidth="1"/>
    <col min="4101" max="4352" width="11.42578125" style="10"/>
    <col min="4353" max="4353" width="87.85546875" style="10" customWidth="1"/>
    <col min="4354" max="4354" width="14" style="10" customWidth="1"/>
    <col min="4355" max="4355" width="50.7109375" style="10" customWidth="1"/>
    <col min="4356" max="4356" width="14" style="10" customWidth="1"/>
    <col min="4357" max="4608" width="11.42578125" style="10"/>
    <col min="4609" max="4609" width="87.85546875" style="10" customWidth="1"/>
    <col min="4610" max="4610" width="14" style="10" customWidth="1"/>
    <col min="4611" max="4611" width="50.7109375" style="10" customWidth="1"/>
    <col min="4612" max="4612" width="14" style="10" customWidth="1"/>
    <col min="4613" max="4864" width="11.42578125" style="10"/>
    <col min="4865" max="4865" width="87.85546875" style="10" customWidth="1"/>
    <col min="4866" max="4866" width="14" style="10" customWidth="1"/>
    <col min="4867" max="4867" width="50.7109375" style="10" customWidth="1"/>
    <col min="4868" max="4868" width="14" style="10" customWidth="1"/>
    <col min="4869" max="5120" width="11.42578125" style="10"/>
    <col min="5121" max="5121" width="87.85546875" style="10" customWidth="1"/>
    <col min="5122" max="5122" width="14" style="10" customWidth="1"/>
    <col min="5123" max="5123" width="50.7109375" style="10" customWidth="1"/>
    <col min="5124" max="5124" width="14" style="10" customWidth="1"/>
    <col min="5125" max="5376" width="11.42578125" style="10"/>
    <col min="5377" max="5377" width="87.85546875" style="10" customWidth="1"/>
    <col min="5378" max="5378" width="14" style="10" customWidth="1"/>
    <col min="5379" max="5379" width="50.7109375" style="10" customWidth="1"/>
    <col min="5380" max="5380" width="14" style="10" customWidth="1"/>
    <col min="5381" max="5632" width="11.42578125" style="10"/>
    <col min="5633" max="5633" width="87.85546875" style="10" customWidth="1"/>
    <col min="5634" max="5634" width="14" style="10" customWidth="1"/>
    <col min="5635" max="5635" width="50.7109375" style="10" customWidth="1"/>
    <col min="5636" max="5636" width="14" style="10" customWidth="1"/>
    <col min="5637" max="5888" width="11.42578125" style="10"/>
    <col min="5889" max="5889" width="87.85546875" style="10" customWidth="1"/>
    <col min="5890" max="5890" width="14" style="10" customWidth="1"/>
    <col min="5891" max="5891" width="50.7109375" style="10" customWidth="1"/>
    <col min="5892" max="5892" width="14" style="10" customWidth="1"/>
    <col min="5893" max="6144" width="11.42578125" style="10"/>
    <col min="6145" max="6145" width="87.85546875" style="10" customWidth="1"/>
    <col min="6146" max="6146" width="14" style="10" customWidth="1"/>
    <col min="6147" max="6147" width="50.7109375" style="10" customWidth="1"/>
    <col min="6148" max="6148" width="14" style="10" customWidth="1"/>
    <col min="6149" max="6400" width="11.42578125" style="10"/>
    <col min="6401" max="6401" width="87.85546875" style="10" customWidth="1"/>
    <col min="6402" max="6402" width="14" style="10" customWidth="1"/>
    <col min="6403" max="6403" width="50.7109375" style="10" customWidth="1"/>
    <col min="6404" max="6404" width="14" style="10" customWidth="1"/>
    <col min="6405" max="6656" width="11.42578125" style="10"/>
    <col min="6657" max="6657" width="87.85546875" style="10" customWidth="1"/>
    <col min="6658" max="6658" width="14" style="10" customWidth="1"/>
    <col min="6659" max="6659" width="50.7109375" style="10" customWidth="1"/>
    <col min="6660" max="6660" width="14" style="10" customWidth="1"/>
    <col min="6661" max="6912" width="11.42578125" style="10"/>
    <col min="6913" max="6913" width="87.85546875" style="10" customWidth="1"/>
    <col min="6914" max="6914" width="14" style="10" customWidth="1"/>
    <col min="6915" max="6915" width="50.7109375" style="10" customWidth="1"/>
    <col min="6916" max="6916" width="14" style="10" customWidth="1"/>
    <col min="6917" max="7168" width="11.42578125" style="10"/>
    <col min="7169" max="7169" width="87.85546875" style="10" customWidth="1"/>
    <col min="7170" max="7170" width="14" style="10" customWidth="1"/>
    <col min="7171" max="7171" width="50.7109375" style="10" customWidth="1"/>
    <col min="7172" max="7172" width="14" style="10" customWidth="1"/>
    <col min="7173" max="7424" width="11.42578125" style="10"/>
    <col min="7425" max="7425" width="87.85546875" style="10" customWidth="1"/>
    <col min="7426" max="7426" width="14" style="10" customWidth="1"/>
    <col min="7427" max="7427" width="50.7109375" style="10" customWidth="1"/>
    <col min="7428" max="7428" width="14" style="10" customWidth="1"/>
    <col min="7429" max="7680" width="11.42578125" style="10"/>
    <col min="7681" max="7681" width="87.85546875" style="10" customWidth="1"/>
    <col min="7682" max="7682" width="14" style="10" customWidth="1"/>
    <col min="7683" max="7683" width="50.7109375" style="10" customWidth="1"/>
    <col min="7684" max="7684" width="14" style="10" customWidth="1"/>
    <col min="7685" max="7936" width="11.42578125" style="10"/>
    <col min="7937" max="7937" width="87.85546875" style="10" customWidth="1"/>
    <col min="7938" max="7938" width="14" style="10" customWidth="1"/>
    <col min="7939" max="7939" width="50.7109375" style="10" customWidth="1"/>
    <col min="7940" max="7940" width="14" style="10" customWidth="1"/>
    <col min="7941" max="8192" width="11.42578125" style="10"/>
    <col min="8193" max="8193" width="87.85546875" style="10" customWidth="1"/>
    <col min="8194" max="8194" width="14" style="10" customWidth="1"/>
    <col min="8195" max="8195" width="50.7109375" style="10" customWidth="1"/>
    <col min="8196" max="8196" width="14" style="10" customWidth="1"/>
    <col min="8197" max="8448" width="11.42578125" style="10"/>
    <col min="8449" max="8449" width="87.85546875" style="10" customWidth="1"/>
    <col min="8450" max="8450" width="14" style="10" customWidth="1"/>
    <col min="8451" max="8451" width="50.7109375" style="10" customWidth="1"/>
    <col min="8452" max="8452" width="14" style="10" customWidth="1"/>
    <col min="8453" max="8704" width="11.42578125" style="10"/>
    <col min="8705" max="8705" width="87.85546875" style="10" customWidth="1"/>
    <col min="8706" max="8706" width="14" style="10" customWidth="1"/>
    <col min="8707" max="8707" width="50.7109375" style="10" customWidth="1"/>
    <col min="8708" max="8708" width="14" style="10" customWidth="1"/>
    <col min="8709" max="8960" width="11.42578125" style="10"/>
    <col min="8961" max="8961" width="87.85546875" style="10" customWidth="1"/>
    <col min="8962" max="8962" width="14" style="10" customWidth="1"/>
    <col min="8963" max="8963" width="50.7109375" style="10" customWidth="1"/>
    <col min="8964" max="8964" width="14" style="10" customWidth="1"/>
    <col min="8965" max="9216" width="11.42578125" style="10"/>
    <col min="9217" max="9217" width="87.85546875" style="10" customWidth="1"/>
    <col min="9218" max="9218" width="14" style="10" customWidth="1"/>
    <col min="9219" max="9219" width="50.7109375" style="10" customWidth="1"/>
    <col min="9220" max="9220" width="14" style="10" customWidth="1"/>
    <col min="9221" max="9472" width="11.42578125" style="10"/>
    <col min="9473" max="9473" width="87.85546875" style="10" customWidth="1"/>
    <col min="9474" max="9474" width="14" style="10" customWidth="1"/>
    <col min="9475" max="9475" width="50.7109375" style="10" customWidth="1"/>
    <col min="9476" max="9476" width="14" style="10" customWidth="1"/>
    <col min="9477" max="9728" width="11.42578125" style="10"/>
    <col min="9729" max="9729" width="87.85546875" style="10" customWidth="1"/>
    <col min="9730" max="9730" width="14" style="10" customWidth="1"/>
    <col min="9731" max="9731" width="50.7109375" style="10" customWidth="1"/>
    <col min="9732" max="9732" width="14" style="10" customWidth="1"/>
    <col min="9733" max="9984" width="11.42578125" style="10"/>
    <col min="9985" max="9985" width="87.85546875" style="10" customWidth="1"/>
    <col min="9986" max="9986" width="14" style="10" customWidth="1"/>
    <col min="9987" max="9987" width="50.7109375" style="10" customWidth="1"/>
    <col min="9988" max="9988" width="14" style="10" customWidth="1"/>
    <col min="9989" max="10240" width="11.42578125" style="10"/>
    <col min="10241" max="10241" width="87.85546875" style="10" customWidth="1"/>
    <col min="10242" max="10242" width="14" style="10" customWidth="1"/>
    <col min="10243" max="10243" width="50.7109375" style="10" customWidth="1"/>
    <col min="10244" max="10244" width="14" style="10" customWidth="1"/>
    <col min="10245" max="10496" width="11.42578125" style="10"/>
    <col min="10497" max="10497" width="87.85546875" style="10" customWidth="1"/>
    <col min="10498" max="10498" width="14" style="10" customWidth="1"/>
    <col min="10499" max="10499" width="50.7109375" style="10" customWidth="1"/>
    <col min="10500" max="10500" width="14" style="10" customWidth="1"/>
    <col min="10501" max="10752" width="11.42578125" style="10"/>
    <col min="10753" max="10753" width="87.85546875" style="10" customWidth="1"/>
    <col min="10754" max="10754" width="14" style="10" customWidth="1"/>
    <col min="10755" max="10755" width="50.7109375" style="10" customWidth="1"/>
    <col min="10756" max="10756" width="14" style="10" customWidth="1"/>
    <col min="10757" max="11008" width="11.42578125" style="10"/>
    <col min="11009" max="11009" width="87.85546875" style="10" customWidth="1"/>
    <col min="11010" max="11010" width="14" style="10" customWidth="1"/>
    <col min="11011" max="11011" width="50.7109375" style="10" customWidth="1"/>
    <col min="11012" max="11012" width="14" style="10" customWidth="1"/>
    <col min="11013" max="11264" width="11.42578125" style="10"/>
    <col min="11265" max="11265" width="87.85546875" style="10" customWidth="1"/>
    <col min="11266" max="11266" width="14" style="10" customWidth="1"/>
    <col min="11267" max="11267" width="50.7109375" style="10" customWidth="1"/>
    <col min="11268" max="11268" width="14" style="10" customWidth="1"/>
    <col min="11269" max="11520" width="11.42578125" style="10"/>
    <col min="11521" max="11521" width="87.85546875" style="10" customWidth="1"/>
    <col min="11522" max="11522" width="14" style="10" customWidth="1"/>
    <col min="11523" max="11523" width="50.7109375" style="10" customWidth="1"/>
    <col min="11524" max="11524" width="14" style="10" customWidth="1"/>
    <col min="11525" max="11776" width="11.42578125" style="10"/>
    <col min="11777" max="11777" width="87.85546875" style="10" customWidth="1"/>
    <col min="11778" max="11778" width="14" style="10" customWidth="1"/>
    <col min="11779" max="11779" width="50.7109375" style="10" customWidth="1"/>
    <col min="11780" max="11780" width="14" style="10" customWidth="1"/>
    <col min="11781" max="12032" width="11.42578125" style="10"/>
    <col min="12033" max="12033" width="87.85546875" style="10" customWidth="1"/>
    <col min="12034" max="12034" width="14" style="10" customWidth="1"/>
    <col min="12035" max="12035" width="50.7109375" style="10" customWidth="1"/>
    <col min="12036" max="12036" width="14" style="10" customWidth="1"/>
    <col min="12037" max="12288" width="11.42578125" style="10"/>
    <col min="12289" max="12289" width="87.85546875" style="10" customWidth="1"/>
    <col min="12290" max="12290" width="14" style="10" customWidth="1"/>
    <col min="12291" max="12291" width="50.7109375" style="10" customWidth="1"/>
    <col min="12292" max="12292" width="14" style="10" customWidth="1"/>
    <col min="12293" max="12544" width="11.42578125" style="10"/>
    <col min="12545" max="12545" width="87.85546875" style="10" customWidth="1"/>
    <col min="12546" max="12546" width="14" style="10" customWidth="1"/>
    <col min="12547" max="12547" width="50.7109375" style="10" customWidth="1"/>
    <col min="12548" max="12548" width="14" style="10" customWidth="1"/>
    <col min="12549" max="12800" width="11.42578125" style="10"/>
    <col min="12801" max="12801" width="87.85546875" style="10" customWidth="1"/>
    <col min="12802" max="12802" width="14" style="10" customWidth="1"/>
    <col min="12803" max="12803" width="50.7109375" style="10" customWidth="1"/>
    <col min="12804" max="12804" width="14" style="10" customWidth="1"/>
    <col min="12805" max="13056" width="11.42578125" style="10"/>
    <col min="13057" max="13057" width="87.85546875" style="10" customWidth="1"/>
    <col min="13058" max="13058" width="14" style="10" customWidth="1"/>
    <col min="13059" max="13059" width="50.7109375" style="10" customWidth="1"/>
    <col min="13060" max="13060" width="14" style="10" customWidth="1"/>
    <col min="13061" max="13312" width="11.42578125" style="10"/>
    <col min="13313" max="13313" width="87.85546875" style="10" customWidth="1"/>
    <col min="13314" max="13314" width="14" style="10" customWidth="1"/>
    <col min="13315" max="13315" width="50.7109375" style="10" customWidth="1"/>
    <col min="13316" max="13316" width="14" style="10" customWidth="1"/>
    <col min="13317" max="13568" width="11.42578125" style="10"/>
    <col min="13569" max="13569" width="87.85546875" style="10" customWidth="1"/>
    <col min="13570" max="13570" width="14" style="10" customWidth="1"/>
    <col min="13571" max="13571" width="50.7109375" style="10" customWidth="1"/>
    <col min="13572" max="13572" width="14" style="10" customWidth="1"/>
    <col min="13573" max="13824" width="11.42578125" style="10"/>
    <col min="13825" max="13825" width="87.85546875" style="10" customWidth="1"/>
    <col min="13826" max="13826" width="14" style="10" customWidth="1"/>
    <col min="13827" max="13827" width="50.7109375" style="10" customWidth="1"/>
    <col min="13828" max="13828" width="14" style="10" customWidth="1"/>
    <col min="13829" max="14080" width="11.42578125" style="10"/>
    <col min="14081" max="14081" width="87.85546875" style="10" customWidth="1"/>
    <col min="14082" max="14082" width="14" style="10" customWidth="1"/>
    <col min="14083" max="14083" width="50.7109375" style="10" customWidth="1"/>
    <col min="14084" max="14084" width="14" style="10" customWidth="1"/>
    <col min="14085" max="14336" width="11.42578125" style="10"/>
    <col min="14337" max="14337" width="87.85546875" style="10" customWidth="1"/>
    <col min="14338" max="14338" width="14" style="10" customWidth="1"/>
    <col min="14339" max="14339" width="50.7109375" style="10" customWidth="1"/>
    <col min="14340" max="14340" width="14" style="10" customWidth="1"/>
    <col min="14341" max="14592" width="11.42578125" style="10"/>
    <col min="14593" max="14593" width="87.85546875" style="10" customWidth="1"/>
    <col min="14594" max="14594" width="14" style="10" customWidth="1"/>
    <col min="14595" max="14595" width="50.7109375" style="10" customWidth="1"/>
    <col min="14596" max="14596" width="14" style="10" customWidth="1"/>
    <col min="14597" max="14848" width="11.42578125" style="10"/>
    <col min="14849" max="14849" width="87.85546875" style="10" customWidth="1"/>
    <col min="14850" max="14850" width="14" style="10" customWidth="1"/>
    <col min="14851" max="14851" width="50.7109375" style="10" customWidth="1"/>
    <col min="14852" max="14852" width="14" style="10" customWidth="1"/>
    <col min="14853" max="15104" width="11.42578125" style="10"/>
    <col min="15105" max="15105" width="87.85546875" style="10" customWidth="1"/>
    <col min="15106" max="15106" width="14" style="10" customWidth="1"/>
    <col min="15107" max="15107" width="50.7109375" style="10" customWidth="1"/>
    <col min="15108" max="15108" width="14" style="10" customWidth="1"/>
    <col min="15109" max="15360" width="11.42578125" style="10"/>
    <col min="15361" max="15361" width="87.85546875" style="10" customWidth="1"/>
    <col min="15362" max="15362" width="14" style="10" customWidth="1"/>
    <col min="15363" max="15363" width="50.7109375" style="10" customWidth="1"/>
    <col min="15364" max="15364" width="14" style="10" customWidth="1"/>
    <col min="15365" max="15616" width="11.42578125" style="10"/>
    <col min="15617" max="15617" width="87.85546875" style="10" customWidth="1"/>
    <col min="15618" max="15618" width="14" style="10" customWidth="1"/>
    <col min="15619" max="15619" width="50.7109375" style="10" customWidth="1"/>
    <col min="15620" max="15620" width="14" style="10" customWidth="1"/>
    <col min="15621" max="15872" width="11.42578125" style="10"/>
    <col min="15873" max="15873" width="87.85546875" style="10" customWidth="1"/>
    <col min="15874" max="15874" width="14" style="10" customWidth="1"/>
    <col min="15875" max="15875" width="50.7109375" style="10" customWidth="1"/>
    <col min="15876" max="15876" width="14" style="10" customWidth="1"/>
    <col min="15877" max="16128" width="11.42578125" style="10"/>
    <col min="16129" max="16129" width="87.85546875" style="10" customWidth="1"/>
    <col min="16130" max="16130" width="14" style="10" customWidth="1"/>
    <col min="16131" max="16131" width="50.7109375" style="10" customWidth="1"/>
    <col min="16132" max="16132" width="14" style="10" customWidth="1"/>
    <col min="16133" max="16384" width="11.42578125" style="10"/>
  </cols>
  <sheetData>
    <row r="1" spans="1:5" s="3" customFormat="1" ht="18" x14ac:dyDescent="0.25">
      <c r="A1" s="1" t="s">
        <v>313</v>
      </c>
      <c r="B1" s="2"/>
      <c r="C1" s="2"/>
      <c r="D1" s="2"/>
    </row>
    <row r="2" spans="1:5" s="3" customFormat="1" ht="18" x14ac:dyDescent="0.25">
      <c r="A2" s="1" t="s">
        <v>316</v>
      </c>
      <c r="B2" s="4"/>
      <c r="C2" s="4"/>
      <c r="D2" s="4"/>
    </row>
    <row r="3" spans="1:5" s="3" customFormat="1" ht="18" x14ac:dyDescent="0.35">
      <c r="A3" s="5"/>
      <c r="B3" s="6"/>
      <c r="C3" s="6"/>
      <c r="D3" s="7"/>
    </row>
    <row r="4" spans="1:5" s="3" customFormat="1" ht="14.25" customHeight="1" x14ac:dyDescent="0.25">
      <c r="A4" s="482" t="s">
        <v>0</v>
      </c>
      <c r="B4" s="482"/>
      <c r="C4" s="482"/>
      <c r="D4" s="482"/>
    </row>
    <row r="5" spans="1:5" ht="14.25" customHeight="1" x14ac:dyDescent="0.35">
      <c r="A5" s="8"/>
      <c r="B5" s="9"/>
      <c r="C5" s="523"/>
      <c r="D5" s="9"/>
    </row>
    <row r="6" spans="1:5" x14ac:dyDescent="0.3">
      <c r="A6" s="11" t="s">
        <v>1</v>
      </c>
      <c r="B6" s="12"/>
      <c r="C6" s="523"/>
      <c r="D6" s="12"/>
    </row>
    <row r="7" spans="1:5" x14ac:dyDescent="0.25">
      <c r="A7" s="13"/>
      <c r="B7" s="13"/>
      <c r="C7" s="13"/>
      <c r="D7" s="13"/>
    </row>
    <row r="8" spans="1:5" x14ac:dyDescent="0.25">
      <c r="A8" s="228" t="s">
        <v>2</v>
      </c>
      <c r="B8" s="229" t="s">
        <v>3</v>
      </c>
      <c r="C8" s="228" t="s">
        <v>4</v>
      </c>
      <c r="D8" s="229" t="s">
        <v>3</v>
      </c>
    </row>
    <row r="9" spans="1:5" x14ac:dyDescent="0.25">
      <c r="A9" s="14" t="s">
        <v>5</v>
      </c>
      <c r="B9" s="15">
        <f>'[5]tableau 6'!B9+'[6]tableau 6'!B9+'[7]tableau 6'!B9+'[8]tableau 6'!B9</f>
        <v>1172099</v>
      </c>
      <c r="C9" s="16" t="s">
        <v>6</v>
      </c>
      <c r="D9" s="17">
        <f>'[5]tableau 6'!D9+'[6]tableau 6'!D9+'[7]tableau 6'!D9+'[8]tableau 6'!D9</f>
        <v>3324719</v>
      </c>
    </row>
    <row r="10" spans="1:5" x14ac:dyDescent="0.25">
      <c r="A10" s="18" t="s">
        <v>7</v>
      </c>
      <c r="B10" s="15">
        <f>'[5]tableau 6'!B10+'[6]tableau 6'!B10+'[7]tableau 6'!B10+'[8]tableau 6'!B10</f>
        <v>0</v>
      </c>
      <c r="C10" s="16" t="s">
        <v>8</v>
      </c>
      <c r="D10" s="17">
        <f>'[5]tableau 6'!D10+'[6]tableau 6'!D10+'[7]tableau 6'!D10+'[8]tableau 6'!D10</f>
        <v>0</v>
      </c>
      <c r="E10" s="19"/>
    </row>
    <row r="11" spans="1:5" x14ac:dyDescent="0.25">
      <c r="A11" s="524" t="s">
        <v>9</v>
      </c>
      <c r="B11" s="520">
        <f>'[5]tableau 6'!B11+'[6]tableau 6'!B11+'[7]tableau 6'!B11+'[8]tableau 6'!B11</f>
        <v>9495680</v>
      </c>
      <c r="C11" s="16" t="s">
        <v>10</v>
      </c>
      <c r="D11" s="17">
        <f>'[5]tableau 6'!D11+'[6]tableau 6'!D11+'[7]tableau 6'!D11+'[8]tableau 6'!D11</f>
        <v>1499419</v>
      </c>
    </row>
    <row r="12" spans="1:5" x14ac:dyDescent="0.25">
      <c r="A12" s="525"/>
      <c r="B12" s="522">
        <f>'[5]tableau 6'!B12+'[6]tableau 6'!B12+'[7]tableau 6'!B12+'[8]tableau 6'!B12</f>
        <v>0</v>
      </c>
      <c r="C12" s="16" t="s">
        <v>11</v>
      </c>
      <c r="D12" s="17">
        <f>'[5]tableau 6'!D12+'[6]tableau 6'!D12+'[7]tableau 6'!D12+'[8]tableau 6'!D12</f>
        <v>6431926</v>
      </c>
    </row>
    <row r="13" spans="1:5" x14ac:dyDescent="0.25">
      <c r="A13" s="230" t="s">
        <v>12</v>
      </c>
      <c r="B13" s="20">
        <f>SUM(B9,B11)</f>
        <v>10667779</v>
      </c>
      <c r="C13" s="230" t="s">
        <v>13</v>
      </c>
      <c r="D13" s="20">
        <f>SUM(D9:D12)</f>
        <v>11256064</v>
      </c>
    </row>
    <row r="14" spans="1:5" x14ac:dyDescent="0.25">
      <c r="A14" s="21" t="s">
        <v>14</v>
      </c>
      <c r="B14" s="22">
        <f>IF(D13-B13&lt;0,0,D13-B13)</f>
        <v>588285</v>
      </c>
      <c r="C14" s="21" t="s">
        <v>15</v>
      </c>
      <c r="D14" s="22">
        <f>IF(B13-D13&gt;0,B13-D13,0)</f>
        <v>0</v>
      </c>
    </row>
    <row r="15" spans="1:5" ht="30" x14ac:dyDescent="0.25">
      <c r="A15" s="231" t="s">
        <v>16</v>
      </c>
      <c r="B15" s="22">
        <f>SUM(B13:B14)</f>
        <v>11256064</v>
      </c>
      <c r="C15" s="231" t="s">
        <v>17</v>
      </c>
      <c r="D15" s="22">
        <f>SUM(D13:D14)</f>
        <v>11256064</v>
      </c>
    </row>
    <row r="16" spans="1:5" x14ac:dyDescent="0.3">
      <c r="A16" s="23" t="s">
        <v>18</v>
      </c>
      <c r="B16" s="24"/>
      <c r="C16" s="25"/>
      <c r="D16" s="25"/>
    </row>
    <row r="17" spans="1:4" x14ac:dyDescent="0.3">
      <c r="A17" s="26"/>
      <c r="B17" s="24"/>
      <c r="C17" s="25"/>
      <c r="D17" s="25"/>
    </row>
    <row r="18" spans="1:4" x14ac:dyDescent="0.3">
      <c r="A18" s="26"/>
      <c r="B18" s="24"/>
      <c r="C18" s="25"/>
      <c r="D18" s="25"/>
    </row>
    <row r="19" spans="1:4" x14ac:dyDescent="0.3">
      <c r="A19" s="526" t="s">
        <v>19</v>
      </c>
      <c r="B19" s="526"/>
      <c r="C19" s="526"/>
      <c r="D19" s="526"/>
    </row>
    <row r="20" spans="1:4" x14ac:dyDescent="0.3">
      <c r="A20" s="27"/>
      <c r="B20" s="28"/>
      <c r="C20" s="25"/>
      <c r="D20" s="25"/>
    </row>
    <row r="21" spans="1:4" x14ac:dyDescent="0.3">
      <c r="A21" s="27"/>
      <c r="B21" s="232" t="s">
        <v>3</v>
      </c>
      <c r="C21" s="25"/>
      <c r="D21" s="25"/>
    </row>
    <row r="22" spans="1:4" ht="30" x14ac:dyDescent="0.3">
      <c r="A22" s="233" t="s">
        <v>20</v>
      </c>
      <c r="B22" s="29">
        <f>IF(B14=0,-D14,B14)</f>
        <v>588285</v>
      </c>
      <c r="C22" s="25"/>
      <c r="D22" s="25"/>
    </row>
    <row r="23" spans="1:4" x14ac:dyDescent="0.3">
      <c r="A23" s="30" t="s">
        <v>21</v>
      </c>
      <c r="B23" s="17"/>
      <c r="C23" s="25"/>
      <c r="D23" s="25"/>
    </row>
    <row r="24" spans="1:4" x14ac:dyDescent="0.3">
      <c r="A24" s="30" t="s">
        <v>22</v>
      </c>
      <c r="B24" s="17"/>
      <c r="C24" s="25"/>
      <c r="D24" s="25"/>
    </row>
    <row r="25" spans="1:4" x14ac:dyDescent="0.3">
      <c r="A25" s="30" t="s">
        <v>23</v>
      </c>
      <c r="B25" s="17">
        <f>IF(ISNA(VLOOKUP($A25,'[10]tab CR_TF R'!$A$4:$B$30,2,0)),0,VLOOKUP($A25,'[10]tab CR_TF R'!$A$4:$B$30,2,0))</f>
        <v>0</v>
      </c>
      <c r="C25" s="25"/>
      <c r="D25" s="25"/>
    </row>
    <row r="26" spans="1:4" x14ac:dyDescent="0.3">
      <c r="A26" s="30" t="s">
        <v>24</v>
      </c>
      <c r="B26" s="17">
        <f>-(IF(ISNA(VLOOKUP($A26,'[10]tab CR_TF R'!$A$4:$B$30,2,0)),0,VLOOKUP($A26,'[10]tab CR_TF R'!$A$4:$B$30,2,0)))</f>
        <v>0</v>
      </c>
      <c r="C26" s="25"/>
      <c r="D26" s="25"/>
    </row>
    <row r="27" spans="1:4" x14ac:dyDescent="0.3">
      <c r="A27" s="30" t="s">
        <v>25</v>
      </c>
      <c r="B27" s="17">
        <f>-(IF(ISNA(VLOOKUP($A27,'[10]tab CR_TF R'!$A$4:$B$30,2,0)),0,VLOOKUP($A27,'[10]tab CR_TF R'!$A$4:$B$30,2,0)))</f>
        <v>0</v>
      </c>
      <c r="C27" s="25"/>
      <c r="D27" s="25"/>
    </row>
    <row r="28" spans="1:4" x14ac:dyDescent="0.3">
      <c r="A28" s="234" t="s">
        <v>26</v>
      </c>
      <c r="B28" s="31">
        <f>SUM(B22:B27)</f>
        <v>588285</v>
      </c>
      <c r="C28" s="25"/>
      <c r="D28" s="25"/>
    </row>
    <row r="29" spans="1:4" x14ac:dyDescent="0.3">
      <c r="A29" s="32" t="s">
        <v>27</v>
      </c>
      <c r="B29" s="33"/>
      <c r="C29" s="25"/>
      <c r="D29" s="25"/>
    </row>
    <row r="30" spans="1:4" x14ac:dyDescent="0.3">
      <c r="A30" s="32"/>
      <c r="B30" s="33"/>
      <c r="C30" s="25"/>
      <c r="D30" s="25"/>
    </row>
    <row r="31" spans="1:4" x14ac:dyDescent="0.3">
      <c r="A31" s="26"/>
      <c r="B31" s="24"/>
      <c r="C31" s="25"/>
      <c r="D31" s="25"/>
    </row>
    <row r="32" spans="1:4" x14ac:dyDescent="0.3">
      <c r="A32" s="34" t="s">
        <v>28</v>
      </c>
      <c r="B32" s="35"/>
      <c r="C32" s="36"/>
      <c r="D32" s="37"/>
    </row>
    <row r="33" spans="1:4" x14ac:dyDescent="0.3">
      <c r="A33" s="38"/>
      <c r="B33" s="39"/>
      <c r="C33" s="40"/>
      <c r="D33" s="41"/>
    </row>
    <row r="34" spans="1:4" x14ac:dyDescent="0.25">
      <c r="A34" s="228" t="s">
        <v>29</v>
      </c>
      <c r="B34" s="229" t="s">
        <v>3</v>
      </c>
      <c r="C34" s="228" t="s">
        <v>30</v>
      </c>
      <c r="D34" s="229" t="s">
        <v>3</v>
      </c>
    </row>
    <row r="35" spans="1:4" x14ac:dyDescent="0.25">
      <c r="A35" s="235" t="s">
        <v>31</v>
      </c>
      <c r="B35" s="236">
        <f>IF($B$28&gt;0,0,-$B$28)</f>
        <v>0</v>
      </c>
      <c r="C35" s="237" t="s">
        <v>32</v>
      </c>
      <c r="D35" s="236">
        <f>IF($B$28&lt;0,0,$B$28)</f>
        <v>588285</v>
      </c>
    </row>
    <row r="36" spans="1:4" x14ac:dyDescent="0.25">
      <c r="A36" s="517" t="s">
        <v>33</v>
      </c>
      <c r="B36" s="520">
        <f>'[5]tableau 6'!B36+'[6]tableau 6'!B36+'[7]tableau 6'!B36+'[8]tableau 6'!B36</f>
        <v>8711648</v>
      </c>
      <c r="C36" s="16" t="s">
        <v>34</v>
      </c>
      <c r="D36" s="17">
        <f>'[5]tableau 6'!D36+'[6]tableau 6'!D36+'[7]tableau 6'!D36+'[8]tableau 6'!D36</f>
        <v>3636356</v>
      </c>
    </row>
    <row r="37" spans="1:4" x14ac:dyDescent="0.25">
      <c r="A37" s="518"/>
      <c r="B37" s="521">
        <f>'[5]tableau 6'!B37+'[6]tableau 6'!B37+'[7]tableau 6'!B37+'[8]tableau 6'!B37</f>
        <v>0</v>
      </c>
      <c r="C37" s="42" t="s">
        <v>35</v>
      </c>
      <c r="D37" s="17">
        <f>'[5]tableau 6'!D37+'[6]tableau 6'!D37+'[7]tableau 6'!D37+'[8]tableau 6'!D37</f>
        <v>1940000</v>
      </c>
    </row>
    <row r="38" spans="1:4" x14ac:dyDescent="0.25">
      <c r="A38" s="519"/>
      <c r="B38" s="522">
        <f>'[5]tableau 6'!B38+'[6]tableau 6'!B38+'[7]tableau 6'!B38+'[8]tableau 6'!B38</f>
        <v>0</v>
      </c>
      <c r="C38" s="16" t="s">
        <v>36</v>
      </c>
      <c r="D38" s="17">
        <f>'[5]tableau 6'!D38+'[6]tableau 6'!D38+'[7]tableau 6'!D38+'[8]tableau 6'!D38</f>
        <v>0</v>
      </c>
    </row>
    <row r="39" spans="1:4" x14ac:dyDescent="0.25">
      <c r="A39" s="43" t="s">
        <v>37</v>
      </c>
      <c r="B39" s="44">
        <v>5000</v>
      </c>
      <c r="C39" s="16" t="s">
        <v>38</v>
      </c>
      <c r="D39" s="17">
        <v>5000</v>
      </c>
    </row>
    <row r="40" spans="1:4" x14ac:dyDescent="0.25">
      <c r="A40" s="238" t="s">
        <v>39</v>
      </c>
      <c r="B40" s="236">
        <f>B35+B36+B39</f>
        <v>8716648</v>
      </c>
      <c r="C40" s="238" t="s">
        <v>40</v>
      </c>
      <c r="D40" s="239">
        <f>SUM(D35:D39)</f>
        <v>6169641</v>
      </c>
    </row>
    <row r="41" spans="1:4" x14ac:dyDescent="0.25">
      <c r="A41" s="231" t="s">
        <v>41</v>
      </c>
      <c r="B41" s="240">
        <f>IF(D40-B40&gt;0,D40-B40,0)</f>
        <v>0</v>
      </c>
      <c r="C41" s="241" t="s">
        <v>42</v>
      </c>
      <c r="D41" s="240">
        <f>IF(B40-D40&lt;0,0,B40-D40)</f>
        <v>2547007</v>
      </c>
    </row>
    <row r="42" spans="1:4" x14ac:dyDescent="0.25">
      <c r="A42" s="532"/>
      <c r="B42" s="533"/>
      <c r="C42" s="533"/>
      <c r="D42" s="533"/>
    </row>
    <row r="43" spans="1:4" x14ac:dyDescent="0.3">
      <c r="A43" s="534" t="s">
        <v>43</v>
      </c>
      <c r="B43" s="534"/>
      <c r="C43" s="45"/>
      <c r="D43" s="46"/>
    </row>
    <row r="44" spans="1:4" x14ac:dyDescent="0.3">
      <c r="A44" s="47"/>
      <c r="B44" s="47"/>
      <c r="C44" s="48"/>
      <c r="D44" s="49"/>
    </row>
    <row r="45" spans="1:4" x14ac:dyDescent="0.3">
      <c r="A45" s="535"/>
      <c r="B45" s="535"/>
      <c r="C45" s="535"/>
      <c r="D45" s="229" t="s">
        <v>3</v>
      </c>
    </row>
    <row r="46" spans="1:4" x14ac:dyDescent="0.3">
      <c r="A46" s="527" t="s">
        <v>44</v>
      </c>
      <c r="B46" s="527"/>
      <c r="C46" s="527"/>
      <c r="D46" s="50">
        <f>IF(B41=0,-(D41),B41)</f>
        <v>-2547007</v>
      </c>
    </row>
    <row r="47" spans="1:4" x14ac:dyDescent="0.3">
      <c r="A47" s="528" t="s">
        <v>45</v>
      </c>
      <c r="B47" s="528"/>
      <c r="C47" s="528"/>
      <c r="D47" s="51"/>
    </row>
    <row r="48" spans="1:4" ht="15.75" thickBot="1" x14ac:dyDescent="0.35">
      <c r="A48" s="536" t="s">
        <v>46</v>
      </c>
      <c r="B48" s="537"/>
      <c r="C48" s="538"/>
      <c r="D48" s="52"/>
    </row>
    <row r="49" spans="1:4" x14ac:dyDescent="0.3">
      <c r="A49" s="527" t="s">
        <v>47</v>
      </c>
      <c r="B49" s="527"/>
      <c r="C49" s="527"/>
      <c r="D49" s="53"/>
    </row>
    <row r="50" spans="1:4" x14ac:dyDescent="0.3">
      <c r="A50" s="528" t="s">
        <v>48</v>
      </c>
      <c r="B50" s="528"/>
      <c r="C50" s="528"/>
      <c r="D50" s="51"/>
    </row>
    <row r="51" spans="1:4" ht="15.75" thickBot="1" x14ac:dyDescent="0.35">
      <c r="A51" s="529" t="s">
        <v>49</v>
      </c>
      <c r="B51" s="530"/>
      <c r="C51" s="531"/>
      <c r="D51" s="54"/>
    </row>
  </sheetData>
  <mergeCells count="16">
    <mergeCell ref="A49:C49"/>
    <mergeCell ref="A50:C50"/>
    <mergeCell ref="A51:C51"/>
    <mergeCell ref="A42:D42"/>
    <mergeCell ref="A43:B43"/>
    <mergeCell ref="A45:C45"/>
    <mergeCell ref="A46:C46"/>
    <mergeCell ref="A47:C47"/>
    <mergeCell ref="A48:C48"/>
    <mergeCell ref="A36:A38"/>
    <mergeCell ref="B36:B38"/>
    <mergeCell ref="A4:D4"/>
    <mergeCell ref="C5:C6"/>
    <mergeCell ref="A11:A12"/>
    <mergeCell ref="B11:B12"/>
    <mergeCell ref="A19:D19"/>
  </mergeCell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A10" workbookViewId="0">
      <selection activeCell="L34" sqref="L34"/>
    </sheetView>
  </sheetViews>
  <sheetFormatPr baseColWidth="10" defaultColWidth="11.42578125" defaultRowHeight="15" x14ac:dyDescent="0.25"/>
  <cols>
    <col min="1" max="1" width="60.42578125" style="420" bestFit="1" customWidth="1"/>
    <col min="2" max="16384" width="11.42578125" style="420"/>
  </cols>
  <sheetData>
    <row r="1" spans="1:15" ht="18" x14ac:dyDescent="0.25">
      <c r="A1" s="56" t="s">
        <v>247</v>
      </c>
      <c r="B1" s="57"/>
      <c r="C1" s="57"/>
      <c r="D1" s="57"/>
      <c r="E1" s="57"/>
      <c r="F1" s="57"/>
      <c r="G1" s="57"/>
      <c r="H1" s="57"/>
      <c r="I1" s="418"/>
      <c r="J1" s="418"/>
      <c r="K1" s="418"/>
      <c r="L1" s="418"/>
      <c r="M1" s="418"/>
      <c r="N1" s="419"/>
    </row>
    <row r="2" spans="1:15" ht="18" x14ac:dyDescent="0.25">
      <c r="A2" s="56" t="s">
        <v>185</v>
      </c>
      <c r="B2" s="57"/>
      <c r="C2" s="57"/>
      <c r="D2" s="57"/>
      <c r="E2" s="57"/>
      <c r="F2" s="57"/>
      <c r="G2" s="57"/>
      <c r="H2" s="57"/>
      <c r="I2" s="418"/>
      <c r="J2" s="418"/>
      <c r="K2" s="418"/>
      <c r="L2" s="418"/>
      <c r="M2" s="418"/>
      <c r="N2" s="419"/>
    </row>
    <row r="3" spans="1:15" ht="18" x14ac:dyDescent="0.35">
      <c r="A3" s="64"/>
      <c r="B3" s="65"/>
      <c r="C3" s="66"/>
      <c r="D3" s="66"/>
      <c r="E3" s="66"/>
      <c r="F3" s="65"/>
      <c r="G3" s="66"/>
      <c r="H3" s="66"/>
      <c r="I3" s="421"/>
      <c r="J3" s="422"/>
      <c r="K3" s="422"/>
      <c r="L3" s="422"/>
      <c r="M3" s="422"/>
      <c r="N3" s="422"/>
    </row>
    <row r="4" spans="1:15" x14ac:dyDescent="0.25">
      <c r="A4" s="539" t="s">
        <v>43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</row>
    <row r="5" spans="1:15" ht="19.5" thickBot="1" x14ac:dyDescent="0.35">
      <c r="A5" s="540"/>
      <c r="B5" s="541"/>
      <c r="C5" s="541"/>
      <c r="D5" s="541"/>
      <c r="E5" s="541"/>
      <c r="F5" s="541"/>
      <c r="G5" s="541"/>
      <c r="H5" s="541"/>
      <c r="I5" s="423"/>
      <c r="J5" s="424"/>
      <c r="K5" s="424"/>
      <c r="L5" s="424"/>
      <c r="M5" s="424"/>
      <c r="N5" s="424"/>
    </row>
    <row r="6" spans="1:15" ht="60.75" thickBot="1" x14ac:dyDescent="0.3">
      <c r="A6" s="425" t="s">
        <v>186</v>
      </c>
      <c r="B6" s="426" t="s">
        <v>187</v>
      </c>
      <c r="C6" s="426" t="s">
        <v>188</v>
      </c>
      <c r="D6" s="426" t="s">
        <v>189</v>
      </c>
      <c r="E6" s="426" t="s">
        <v>190</v>
      </c>
      <c r="F6" s="426" t="s">
        <v>191</v>
      </c>
      <c r="G6" s="426" t="s">
        <v>192</v>
      </c>
      <c r="H6" s="426" t="s">
        <v>193</v>
      </c>
      <c r="I6" s="426" t="s">
        <v>194</v>
      </c>
      <c r="J6" s="426" t="s">
        <v>195</v>
      </c>
      <c r="K6" s="426" t="s">
        <v>196</v>
      </c>
      <c r="L6" s="426" t="s">
        <v>197</v>
      </c>
      <c r="M6" s="427" t="s">
        <v>198</v>
      </c>
      <c r="N6" s="427" t="s">
        <v>199</v>
      </c>
    </row>
    <row r="7" spans="1:15" x14ac:dyDescent="0.25">
      <c r="A7" s="428" t="s">
        <v>200</v>
      </c>
      <c r="B7" s="429">
        <v>4228270.0800000001</v>
      </c>
      <c r="C7" s="430">
        <f t="shared" ref="C7:M7" si="0">B44</f>
        <v>3452640.08</v>
      </c>
      <c r="D7" s="430">
        <f t="shared" si="0"/>
        <v>2818238.08</v>
      </c>
      <c r="E7" s="430">
        <f t="shared" si="0"/>
        <v>2608894.08</v>
      </c>
      <c r="F7" s="430">
        <f t="shared" si="0"/>
        <v>2257718.08</v>
      </c>
      <c r="G7" s="430">
        <f t="shared" si="0"/>
        <v>1951101.08</v>
      </c>
      <c r="H7" s="430">
        <f t="shared" si="0"/>
        <v>2199170.08</v>
      </c>
      <c r="I7" s="430">
        <f t="shared" si="0"/>
        <v>3642437.08</v>
      </c>
      <c r="J7" s="430">
        <f t="shared" si="0"/>
        <v>2852431.08</v>
      </c>
      <c r="K7" s="430">
        <f t="shared" si="0"/>
        <v>2441000.08</v>
      </c>
      <c r="L7" s="430">
        <f t="shared" si="0"/>
        <v>2820595.08</v>
      </c>
      <c r="M7" s="430">
        <f t="shared" si="0"/>
        <v>1873989.08</v>
      </c>
      <c r="N7" s="431"/>
    </row>
    <row r="8" spans="1:15" x14ac:dyDescent="0.25">
      <c r="A8" s="432" t="s">
        <v>201</v>
      </c>
      <c r="B8" s="433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5"/>
      <c r="N8" s="436"/>
    </row>
    <row r="9" spans="1:15" x14ac:dyDescent="0.25">
      <c r="A9" s="437" t="s">
        <v>202</v>
      </c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40"/>
    </row>
    <row r="10" spans="1:15" x14ac:dyDescent="0.25">
      <c r="A10" s="441" t="s">
        <v>203</v>
      </c>
      <c r="B10" s="442">
        <f t="shared" ref="B10:N10" si="1">SUM(B11:B15)</f>
        <v>99952</v>
      </c>
      <c r="C10" s="442">
        <f t="shared" si="1"/>
        <v>147738</v>
      </c>
      <c r="D10" s="442">
        <f t="shared" si="1"/>
        <v>122179</v>
      </c>
      <c r="E10" s="442">
        <f t="shared" si="1"/>
        <v>179706</v>
      </c>
      <c r="F10" s="442">
        <f t="shared" si="1"/>
        <v>0</v>
      </c>
      <c r="G10" s="442">
        <f t="shared" si="1"/>
        <v>1335672</v>
      </c>
      <c r="H10" s="442">
        <f t="shared" si="1"/>
        <v>2627065</v>
      </c>
      <c r="I10" s="442">
        <f t="shared" si="1"/>
        <v>0</v>
      </c>
      <c r="J10" s="442">
        <f t="shared" si="1"/>
        <v>593672</v>
      </c>
      <c r="K10" s="442">
        <f t="shared" si="1"/>
        <v>0</v>
      </c>
      <c r="L10" s="442">
        <f t="shared" si="1"/>
        <v>15000</v>
      </c>
      <c r="M10" s="443">
        <f t="shared" si="1"/>
        <v>2393572</v>
      </c>
      <c r="N10" s="444">
        <f t="shared" si="1"/>
        <v>4983381</v>
      </c>
    </row>
    <row r="11" spans="1:15" x14ac:dyDescent="0.25">
      <c r="A11" s="445" t="s">
        <v>86</v>
      </c>
      <c r="B11" s="446">
        <v>64555</v>
      </c>
      <c r="C11" s="447"/>
      <c r="D11" s="447"/>
      <c r="E11" s="447">
        <v>64555</v>
      </c>
      <c r="F11" s="447"/>
      <c r="G11" s="447"/>
      <c r="H11" s="447">
        <v>2402065</v>
      </c>
      <c r="I11" s="447"/>
      <c r="J11" s="447"/>
      <c r="K11" s="447"/>
      <c r="L11" s="447"/>
      <c r="M11" s="448"/>
      <c r="N11" s="449"/>
    </row>
    <row r="12" spans="1:15" x14ac:dyDescent="0.25">
      <c r="A12" s="445" t="s">
        <v>87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1"/>
      <c r="N12" s="449">
        <f>SUM(B12:M12)</f>
        <v>0</v>
      </c>
    </row>
    <row r="13" spans="1:15" x14ac:dyDescent="0.25">
      <c r="A13" s="445" t="s">
        <v>8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1"/>
      <c r="N13" s="449">
        <f>SUM(B13:M13)</f>
        <v>0</v>
      </c>
    </row>
    <row r="14" spans="1:15" x14ac:dyDescent="0.25">
      <c r="A14" s="445" t="s">
        <v>88</v>
      </c>
      <c r="B14" s="450">
        <v>10700</v>
      </c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1">
        <v>1544180</v>
      </c>
      <c r="N14" s="449">
        <f>SUM(B14:M14)</f>
        <v>1554880</v>
      </c>
    </row>
    <row r="15" spans="1:15" x14ac:dyDescent="0.25">
      <c r="A15" s="445" t="s">
        <v>89</v>
      </c>
      <c r="B15" s="450">
        <v>24697</v>
      </c>
      <c r="C15" s="450">
        <v>147738</v>
      </c>
      <c r="D15" s="450">
        <v>122179</v>
      </c>
      <c r="E15" s="450">
        <v>115151</v>
      </c>
      <c r="F15" s="450"/>
      <c r="G15" s="450">
        <v>1335672</v>
      </c>
      <c r="H15" s="450">
        <v>225000</v>
      </c>
      <c r="I15" s="450"/>
      <c r="J15" s="450">
        <v>593672</v>
      </c>
      <c r="K15" s="450"/>
      <c r="L15" s="450">
        <v>15000</v>
      </c>
      <c r="M15" s="451">
        <v>849392</v>
      </c>
      <c r="N15" s="449">
        <f>SUM(B15:M15)</f>
        <v>3428501</v>
      </c>
      <c r="O15" s="452"/>
    </row>
    <row r="16" spans="1:15" x14ac:dyDescent="0.25">
      <c r="A16" s="441" t="s">
        <v>204</v>
      </c>
      <c r="B16" s="442">
        <f t="shared" ref="B16:N16" si="2">SUM(B17:B19)</f>
        <v>0</v>
      </c>
      <c r="C16" s="442">
        <f t="shared" si="2"/>
        <v>0</v>
      </c>
      <c r="D16" s="442">
        <f t="shared" si="2"/>
        <v>100000</v>
      </c>
      <c r="E16" s="442">
        <f t="shared" si="2"/>
        <v>0</v>
      </c>
      <c r="F16" s="442">
        <f t="shared" si="2"/>
        <v>800000</v>
      </c>
      <c r="G16" s="442">
        <f t="shared" si="2"/>
        <v>0</v>
      </c>
      <c r="H16" s="442">
        <f t="shared" si="2"/>
        <v>2170525</v>
      </c>
      <c r="I16" s="442">
        <f t="shared" si="2"/>
        <v>0</v>
      </c>
      <c r="J16" s="442">
        <f t="shared" si="2"/>
        <v>0</v>
      </c>
      <c r="K16" s="442">
        <f t="shared" si="2"/>
        <v>3780000</v>
      </c>
      <c r="L16" s="442">
        <f t="shared" si="2"/>
        <v>0</v>
      </c>
      <c r="M16" s="443">
        <f t="shared" si="2"/>
        <v>2984064</v>
      </c>
      <c r="N16" s="444">
        <f t="shared" si="2"/>
        <v>9834589</v>
      </c>
      <c r="O16" s="452"/>
    </row>
    <row r="17" spans="1:16" x14ac:dyDescent="0.25">
      <c r="A17" s="445" t="s">
        <v>132</v>
      </c>
      <c r="B17" s="450"/>
      <c r="C17" s="450"/>
      <c r="D17" s="450"/>
      <c r="E17" s="450"/>
      <c r="F17" s="450">
        <v>800000</v>
      </c>
      <c r="G17" s="453"/>
      <c r="H17" s="453"/>
      <c r="I17" s="453"/>
      <c r="J17" s="453"/>
      <c r="K17" s="453">
        <v>3780000</v>
      </c>
      <c r="L17" s="453"/>
      <c r="M17" s="454">
        <v>2381075</v>
      </c>
      <c r="N17" s="455">
        <f>SUM(B17:M17)</f>
        <v>6961075</v>
      </c>
    </row>
    <row r="18" spans="1:16" x14ac:dyDescent="0.25">
      <c r="A18" s="445" t="s">
        <v>205</v>
      </c>
      <c r="B18" s="450"/>
      <c r="C18" s="450"/>
      <c r="D18" s="450">
        <v>100000</v>
      </c>
      <c r="E18" s="450"/>
      <c r="F18" s="450"/>
      <c r="G18" s="453"/>
      <c r="H18" s="453">
        <v>2170525</v>
      </c>
      <c r="I18" s="453"/>
      <c r="J18" s="453"/>
      <c r="K18" s="453"/>
      <c r="L18" s="453"/>
      <c r="M18" s="454">
        <v>602989</v>
      </c>
      <c r="N18" s="455">
        <f>SUM(B18:M18)</f>
        <v>2873514</v>
      </c>
    </row>
    <row r="19" spans="1:16" x14ac:dyDescent="0.25">
      <c r="A19" s="445" t="s">
        <v>92</v>
      </c>
      <c r="B19" s="450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4"/>
      <c r="N19" s="455">
        <f>SUM(B19:M19)</f>
        <v>0</v>
      </c>
    </row>
    <row r="20" spans="1:16" x14ac:dyDescent="0.25">
      <c r="A20" s="441" t="s">
        <v>206</v>
      </c>
      <c r="B20" s="442">
        <f t="shared" ref="B20:M20" si="3">SUM(B21:B22)</f>
        <v>0</v>
      </c>
      <c r="C20" s="442">
        <f t="shared" si="3"/>
        <v>0</v>
      </c>
      <c r="D20" s="442">
        <f t="shared" si="3"/>
        <v>0</v>
      </c>
      <c r="E20" s="442">
        <f t="shared" si="3"/>
        <v>0</v>
      </c>
      <c r="F20" s="442">
        <f t="shared" si="3"/>
        <v>0</v>
      </c>
      <c r="G20" s="442">
        <f t="shared" si="3"/>
        <v>0</v>
      </c>
      <c r="H20" s="442">
        <f t="shared" si="3"/>
        <v>0</v>
      </c>
      <c r="I20" s="442">
        <f t="shared" si="3"/>
        <v>0</v>
      </c>
      <c r="J20" s="442">
        <f t="shared" si="3"/>
        <v>0</v>
      </c>
      <c r="K20" s="442">
        <f t="shared" si="3"/>
        <v>171600</v>
      </c>
      <c r="L20" s="442">
        <f t="shared" si="3"/>
        <v>0</v>
      </c>
      <c r="M20" s="443">
        <f t="shared" si="3"/>
        <v>0</v>
      </c>
      <c r="N20" s="444">
        <f>SUM(N21:N24)</f>
        <v>171600</v>
      </c>
    </row>
    <row r="21" spans="1:16" x14ac:dyDescent="0.25">
      <c r="A21" s="445" t="s">
        <v>150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4"/>
      <c r="N21" s="455">
        <f>SUM(B21:M21)</f>
        <v>0</v>
      </c>
    </row>
    <row r="22" spans="1:16" x14ac:dyDescent="0.25">
      <c r="A22" s="445" t="s">
        <v>207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>
        <v>171600</v>
      </c>
      <c r="L22" s="456"/>
      <c r="M22" s="457"/>
      <c r="N22" s="455">
        <f>SUM(B22:M22)</f>
        <v>171600</v>
      </c>
    </row>
    <row r="23" spans="1:16" x14ac:dyDescent="0.25">
      <c r="A23" s="445" t="s">
        <v>208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4"/>
      <c r="N23" s="455">
        <f>SUM(B23:M23)</f>
        <v>0</v>
      </c>
    </row>
    <row r="24" spans="1:16" x14ac:dyDescent="0.25">
      <c r="A24" s="458" t="s">
        <v>209</v>
      </c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60"/>
      <c r="N24" s="455">
        <f>SUM(B24:M24)</f>
        <v>0</v>
      </c>
    </row>
    <row r="25" spans="1:16" x14ac:dyDescent="0.25">
      <c r="A25" s="461" t="s">
        <v>210</v>
      </c>
      <c r="B25" s="442">
        <f t="shared" ref="B25:N25" si="4">B10+B16+B20</f>
        <v>99952</v>
      </c>
      <c r="C25" s="442">
        <f t="shared" si="4"/>
        <v>147738</v>
      </c>
      <c r="D25" s="442">
        <f t="shared" si="4"/>
        <v>222179</v>
      </c>
      <c r="E25" s="442">
        <f t="shared" si="4"/>
        <v>179706</v>
      </c>
      <c r="F25" s="442">
        <f t="shared" si="4"/>
        <v>800000</v>
      </c>
      <c r="G25" s="442">
        <f t="shared" si="4"/>
        <v>1335672</v>
      </c>
      <c r="H25" s="442">
        <f t="shared" si="4"/>
        <v>4797590</v>
      </c>
      <c r="I25" s="442">
        <f t="shared" si="4"/>
        <v>0</v>
      </c>
      <c r="J25" s="442">
        <f t="shared" si="4"/>
        <v>593672</v>
      </c>
      <c r="K25" s="442">
        <f t="shared" si="4"/>
        <v>3951600</v>
      </c>
      <c r="L25" s="442">
        <f t="shared" si="4"/>
        <v>15000</v>
      </c>
      <c r="M25" s="443">
        <f t="shared" si="4"/>
        <v>5377636</v>
      </c>
      <c r="N25" s="444">
        <f t="shared" si="4"/>
        <v>14989570</v>
      </c>
    </row>
    <row r="26" spans="1:16" x14ac:dyDescent="0.25">
      <c r="A26" s="462" t="s">
        <v>211</v>
      </c>
      <c r="B26" s="463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5"/>
    </row>
    <row r="27" spans="1:16" x14ac:dyDescent="0.25">
      <c r="A27" s="466" t="s">
        <v>212</v>
      </c>
      <c r="B27" s="442">
        <f t="shared" ref="B27:N27" si="5">SUM(B28:B31)</f>
        <v>768255</v>
      </c>
      <c r="C27" s="467">
        <f t="shared" si="5"/>
        <v>501834</v>
      </c>
      <c r="D27" s="442">
        <f t="shared" si="5"/>
        <v>346173</v>
      </c>
      <c r="E27" s="442">
        <f t="shared" si="5"/>
        <v>343256</v>
      </c>
      <c r="F27" s="442">
        <f t="shared" si="5"/>
        <v>1090006</v>
      </c>
      <c r="G27" s="442">
        <f t="shared" si="5"/>
        <v>1087603</v>
      </c>
      <c r="H27" s="442">
        <f t="shared" si="5"/>
        <v>790006</v>
      </c>
      <c r="I27" s="442">
        <f t="shared" si="5"/>
        <v>790006</v>
      </c>
      <c r="J27" s="442">
        <f t="shared" si="5"/>
        <v>1005103</v>
      </c>
      <c r="K27" s="442">
        <f t="shared" si="5"/>
        <v>790006</v>
      </c>
      <c r="L27" s="442">
        <f t="shared" si="5"/>
        <v>790006</v>
      </c>
      <c r="M27" s="443">
        <f t="shared" si="5"/>
        <v>1087603</v>
      </c>
      <c r="N27" s="444">
        <f t="shared" si="5"/>
        <v>9389857</v>
      </c>
      <c r="P27" s="468"/>
    </row>
    <row r="28" spans="1:16" x14ac:dyDescent="0.25">
      <c r="A28" s="445" t="s">
        <v>5</v>
      </c>
      <c r="B28" s="447">
        <v>122846</v>
      </c>
      <c r="C28" s="447">
        <v>75032</v>
      </c>
      <c r="D28" s="447">
        <v>75358</v>
      </c>
      <c r="E28" s="447">
        <v>71898</v>
      </c>
      <c r="F28" s="447">
        <v>81821</v>
      </c>
      <c r="G28" s="447">
        <v>81821</v>
      </c>
      <c r="H28" s="447">
        <v>81821</v>
      </c>
      <c r="I28" s="447">
        <v>81821</v>
      </c>
      <c r="J28" s="447">
        <v>81821</v>
      </c>
      <c r="K28" s="447">
        <v>81821</v>
      </c>
      <c r="L28" s="447">
        <v>81821</v>
      </c>
      <c r="M28" s="448">
        <v>81821</v>
      </c>
      <c r="N28" s="455">
        <f>SUM(B28:M28)</f>
        <v>999702</v>
      </c>
    </row>
    <row r="29" spans="1:16" x14ac:dyDescent="0.25">
      <c r="A29" s="445" t="s">
        <v>213</v>
      </c>
      <c r="B29" s="450">
        <v>491802</v>
      </c>
      <c r="C29" s="450">
        <v>311448</v>
      </c>
      <c r="D29" s="450">
        <v>263642</v>
      </c>
      <c r="E29" s="450">
        <v>265064</v>
      </c>
      <c r="F29" s="450">
        <v>1008185</v>
      </c>
      <c r="G29" s="450">
        <v>708185</v>
      </c>
      <c r="H29" s="450">
        <v>708185</v>
      </c>
      <c r="I29" s="450">
        <v>708185</v>
      </c>
      <c r="J29" s="450">
        <v>708185</v>
      </c>
      <c r="K29" s="450">
        <v>708185</v>
      </c>
      <c r="L29" s="450">
        <v>708185</v>
      </c>
      <c r="M29" s="450">
        <v>708185</v>
      </c>
      <c r="N29" s="455">
        <f>SUM(B29:M29)</f>
        <v>7297436</v>
      </c>
      <c r="O29" s="452"/>
    </row>
    <row r="30" spans="1:16" x14ac:dyDescent="0.25">
      <c r="A30" s="445" t="s">
        <v>214</v>
      </c>
      <c r="B30" s="450"/>
      <c r="C30" s="450">
        <v>115354</v>
      </c>
      <c r="D30" s="450"/>
      <c r="E30" s="450"/>
      <c r="F30" s="450"/>
      <c r="G30" s="450"/>
      <c r="I30" s="450"/>
      <c r="J30" s="450"/>
      <c r="K30" s="450"/>
      <c r="L30" s="450"/>
      <c r="M30" s="451"/>
      <c r="N30" s="455">
        <f>SUM(B30:M30)</f>
        <v>115354</v>
      </c>
    </row>
    <row r="31" spans="1:16" x14ac:dyDescent="0.25">
      <c r="A31" s="445" t="s">
        <v>50</v>
      </c>
      <c r="B31" s="453">
        <v>153607</v>
      </c>
      <c r="C31" s="450"/>
      <c r="D31" s="450">
        <v>7173</v>
      </c>
      <c r="E31" s="450">
        <v>6294</v>
      </c>
      <c r="F31" s="450"/>
      <c r="G31" s="450">
        <v>297597</v>
      </c>
      <c r="H31" s="450"/>
      <c r="I31" s="450"/>
      <c r="J31" s="450">
        <v>215097</v>
      </c>
      <c r="K31" s="450"/>
      <c r="L31" s="450"/>
      <c r="M31" s="451">
        <v>297597</v>
      </c>
      <c r="N31" s="455">
        <f>SUM(B31:M31)</f>
        <v>977365</v>
      </c>
      <c r="O31" s="452"/>
    </row>
    <row r="32" spans="1:16" x14ac:dyDescent="0.25">
      <c r="A32" s="441" t="s">
        <v>215</v>
      </c>
      <c r="B32" s="442">
        <f t="shared" ref="B32:N32" si="6">SUM(B33:B36)</f>
        <v>107327</v>
      </c>
      <c r="C32" s="467">
        <f t="shared" si="6"/>
        <v>280306</v>
      </c>
      <c r="D32" s="442">
        <f t="shared" si="6"/>
        <v>85350</v>
      </c>
      <c r="E32" s="442">
        <f t="shared" si="6"/>
        <v>187626</v>
      </c>
      <c r="F32" s="442">
        <f t="shared" si="6"/>
        <v>0</v>
      </c>
      <c r="G32" s="442">
        <f t="shared" si="6"/>
        <v>0</v>
      </c>
      <c r="H32" s="442">
        <f t="shared" si="6"/>
        <v>2564317</v>
      </c>
      <c r="I32" s="442">
        <f t="shared" si="6"/>
        <v>0</v>
      </c>
      <c r="J32" s="442">
        <f t="shared" si="6"/>
        <v>0</v>
      </c>
      <c r="K32" s="442">
        <f t="shared" si="6"/>
        <v>2781999</v>
      </c>
      <c r="L32" s="442">
        <f t="shared" si="6"/>
        <v>0</v>
      </c>
      <c r="M32" s="443">
        <f t="shared" si="6"/>
        <v>5144400</v>
      </c>
      <c r="N32" s="444">
        <f t="shared" si="6"/>
        <v>11151325</v>
      </c>
      <c r="O32" s="452"/>
    </row>
    <row r="33" spans="1:15" x14ac:dyDescent="0.25">
      <c r="A33" s="445" t="s">
        <v>5</v>
      </c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1"/>
      <c r="N33" s="455"/>
    </row>
    <row r="34" spans="1:15" x14ac:dyDescent="0.25">
      <c r="A34" s="445" t="s">
        <v>213</v>
      </c>
      <c r="B34" s="450"/>
      <c r="C34" s="450">
        <v>43890</v>
      </c>
      <c r="D34" s="450">
        <v>38160</v>
      </c>
      <c r="E34" s="450">
        <v>124434</v>
      </c>
      <c r="F34" s="450"/>
      <c r="G34" s="450"/>
      <c r="H34" s="450">
        <v>546651</v>
      </c>
      <c r="I34" s="450"/>
      <c r="J34" s="450"/>
      <c r="K34" s="450">
        <v>2009736</v>
      </c>
      <c r="L34" s="450"/>
      <c r="M34" s="451"/>
      <c r="N34" s="455">
        <f>SUM(B34:M34)</f>
        <v>2762871</v>
      </c>
      <c r="O34" s="452"/>
    </row>
    <row r="35" spans="1:15" x14ac:dyDescent="0.25">
      <c r="A35" s="445" t="s">
        <v>214</v>
      </c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1"/>
      <c r="N35" s="455"/>
    </row>
    <row r="36" spans="1:15" x14ac:dyDescent="0.25">
      <c r="A36" s="445" t="s">
        <v>50</v>
      </c>
      <c r="B36" s="450">
        <v>107327</v>
      </c>
      <c r="C36" s="450">
        <v>236416</v>
      </c>
      <c r="D36" s="450">
        <v>47190</v>
      </c>
      <c r="E36" s="450">
        <v>63192</v>
      </c>
      <c r="F36" s="450"/>
      <c r="G36" s="450"/>
      <c r="H36" s="450">
        <v>2017666</v>
      </c>
      <c r="I36" s="450"/>
      <c r="J36" s="450"/>
      <c r="K36" s="450">
        <v>772263</v>
      </c>
      <c r="L36" s="450"/>
      <c r="M36" s="451">
        <v>5144400</v>
      </c>
      <c r="N36" s="455">
        <f>SUM(B36:M36)</f>
        <v>8388454</v>
      </c>
      <c r="O36" s="452"/>
    </row>
    <row r="37" spans="1:15" x14ac:dyDescent="0.25">
      <c r="A37" s="441" t="s">
        <v>216</v>
      </c>
      <c r="B37" s="442">
        <f>SUM(B38:B39)</f>
        <v>0</v>
      </c>
      <c r="C37" s="442">
        <f>SUM(C38:C39)</f>
        <v>0</v>
      </c>
      <c r="D37" s="442">
        <f>SUM(D38:D39)</f>
        <v>0</v>
      </c>
      <c r="E37" s="442">
        <f>SUM(E38:E39)</f>
        <v>0</v>
      </c>
      <c r="F37" s="442">
        <f>SUM(F38:F40)</f>
        <v>16611</v>
      </c>
      <c r="G37" s="442">
        <f t="shared" ref="G37:M37" si="7">SUM(G38:G39)</f>
        <v>0</v>
      </c>
      <c r="H37" s="442">
        <f t="shared" si="7"/>
        <v>0</v>
      </c>
      <c r="I37" s="442">
        <f t="shared" si="7"/>
        <v>0</v>
      </c>
      <c r="J37" s="442">
        <f t="shared" si="7"/>
        <v>0</v>
      </c>
      <c r="K37" s="442">
        <f t="shared" si="7"/>
        <v>0</v>
      </c>
      <c r="L37" s="442">
        <f t="shared" si="7"/>
        <v>171600</v>
      </c>
      <c r="M37" s="443">
        <f t="shared" si="7"/>
        <v>0</v>
      </c>
      <c r="N37" s="444">
        <f>SUM(N38:N41)</f>
        <v>188211</v>
      </c>
    </row>
    <row r="38" spans="1:15" x14ac:dyDescent="0.25">
      <c r="A38" s="445" t="s">
        <v>217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4"/>
      <c r="N38" s="455">
        <f>SUM(B38:M38)</f>
        <v>0</v>
      </c>
    </row>
    <row r="39" spans="1:15" x14ac:dyDescent="0.25">
      <c r="A39" s="445" t="s">
        <v>218</v>
      </c>
      <c r="B39" s="456">
        <f>$O$39/12</f>
        <v>0</v>
      </c>
      <c r="C39" s="456">
        <v>0</v>
      </c>
      <c r="D39" s="456">
        <f>$O$39/12</f>
        <v>0</v>
      </c>
      <c r="E39" s="456"/>
      <c r="F39" s="456"/>
      <c r="G39" s="456"/>
      <c r="H39" s="456"/>
      <c r="I39" s="456"/>
      <c r="J39" s="456"/>
      <c r="L39" s="456">
        <v>171600</v>
      </c>
      <c r="M39" s="457"/>
      <c r="N39" s="455">
        <f>SUM(B39:M39)</f>
        <v>171600</v>
      </c>
    </row>
    <row r="40" spans="1:15" x14ac:dyDescent="0.25">
      <c r="A40" s="445" t="s">
        <v>208</v>
      </c>
      <c r="B40" s="453"/>
      <c r="C40" s="453"/>
      <c r="D40" s="453"/>
      <c r="E40" s="453"/>
      <c r="F40" s="453">
        <v>16611</v>
      </c>
      <c r="G40" s="453"/>
      <c r="H40" s="453"/>
      <c r="I40" s="453"/>
      <c r="J40" s="453"/>
      <c r="K40" s="453"/>
      <c r="L40" s="453"/>
      <c r="M40" s="454"/>
      <c r="N40" s="455">
        <f>SUM(B40:M40)</f>
        <v>16611</v>
      </c>
    </row>
    <row r="41" spans="1:15" x14ac:dyDescent="0.25">
      <c r="A41" s="458" t="s">
        <v>219</v>
      </c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4"/>
      <c r="N41" s="455">
        <f>SUM(B41:M41)</f>
        <v>0</v>
      </c>
    </row>
    <row r="42" spans="1:15" x14ac:dyDescent="0.25">
      <c r="A42" s="461" t="s">
        <v>220</v>
      </c>
      <c r="B42" s="442">
        <f t="shared" ref="B42:N42" si="8">B27+B32+B37</f>
        <v>875582</v>
      </c>
      <c r="C42" s="442">
        <f t="shared" si="8"/>
        <v>782140</v>
      </c>
      <c r="D42" s="442">
        <f t="shared" si="8"/>
        <v>431523</v>
      </c>
      <c r="E42" s="442">
        <f t="shared" si="8"/>
        <v>530882</v>
      </c>
      <c r="F42" s="442">
        <f t="shared" si="8"/>
        <v>1106617</v>
      </c>
      <c r="G42" s="442">
        <f t="shared" si="8"/>
        <v>1087603</v>
      </c>
      <c r="H42" s="442">
        <f t="shared" si="8"/>
        <v>3354323</v>
      </c>
      <c r="I42" s="442">
        <f t="shared" si="8"/>
        <v>790006</v>
      </c>
      <c r="J42" s="442">
        <f t="shared" si="8"/>
        <v>1005103</v>
      </c>
      <c r="K42" s="442">
        <f t="shared" si="8"/>
        <v>3572005</v>
      </c>
      <c r="L42" s="442">
        <f t="shared" si="8"/>
        <v>961606</v>
      </c>
      <c r="M42" s="443">
        <f t="shared" si="8"/>
        <v>6232003</v>
      </c>
      <c r="N42" s="469">
        <f t="shared" si="8"/>
        <v>20729393</v>
      </c>
    </row>
    <row r="43" spans="1:15" ht="15.75" thickBot="1" x14ac:dyDescent="0.3">
      <c r="A43" s="470" t="s">
        <v>221</v>
      </c>
      <c r="B43" s="471">
        <f t="shared" ref="B43:M43" si="9">B25-B42</f>
        <v>-775630</v>
      </c>
      <c r="C43" s="471">
        <f t="shared" si="9"/>
        <v>-634402</v>
      </c>
      <c r="D43" s="471">
        <f t="shared" si="9"/>
        <v>-209344</v>
      </c>
      <c r="E43" s="471">
        <f t="shared" si="9"/>
        <v>-351176</v>
      </c>
      <c r="F43" s="471">
        <f t="shared" si="9"/>
        <v>-306617</v>
      </c>
      <c r="G43" s="471">
        <f t="shared" si="9"/>
        <v>248069</v>
      </c>
      <c r="H43" s="471">
        <f t="shared" si="9"/>
        <v>1443267</v>
      </c>
      <c r="I43" s="471">
        <f t="shared" si="9"/>
        <v>-790006</v>
      </c>
      <c r="J43" s="471">
        <f t="shared" si="9"/>
        <v>-411431</v>
      </c>
      <c r="K43" s="471">
        <f t="shared" si="9"/>
        <v>379595</v>
      </c>
      <c r="L43" s="471">
        <f t="shared" si="9"/>
        <v>-946606</v>
      </c>
      <c r="M43" s="472">
        <f t="shared" si="9"/>
        <v>-854367</v>
      </c>
      <c r="N43" s="473" t="s">
        <v>222</v>
      </c>
    </row>
    <row r="44" spans="1:15" ht="15.75" thickBot="1" x14ac:dyDescent="0.3">
      <c r="A44" s="474" t="s">
        <v>223</v>
      </c>
      <c r="B44" s="475">
        <f>B7+B43</f>
        <v>3452640.08</v>
      </c>
      <c r="C44" s="475">
        <f t="shared" ref="C44:M44" si="10">B44+C43</f>
        <v>2818238.08</v>
      </c>
      <c r="D44" s="475">
        <f t="shared" si="10"/>
        <v>2608894.08</v>
      </c>
      <c r="E44" s="475">
        <f t="shared" si="10"/>
        <v>2257718.08</v>
      </c>
      <c r="F44" s="475">
        <f t="shared" si="10"/>
        <v>1951101.08</v>
      </c>
      <c r="G44" s="475">
        <f t="shared" si="10"/>
        <v>2199170.08</v>
      </c>
      <c r="H44" s="475">
        <f t="shared" si="10"/>
        <v>3642437.08</v>
      </c>
      <c r="I44" s="475">
        <f t="shared" si="10"/>
        <v>2852431.08</v>
      </c>
      <c r="J44" s="475">
        <f t="shared" si="10"/>
        <v>2441000.08</v>
      </c>
      <c r="K44" s="475">
        <f t="shared" si="10"/>
        <v>2820595.08</v>
      </c>
      <c r="L44" s="475">
        <f t="shared" si="10"/>
        <v>1873989.08</v>
      </c>
      <c r="M44" s="476">
        <f t="shared" si="10"/>
        <v>1019622.0800000001</v>
      </c>
      <c r="N44" s="477">
        <f>M44-B7</f>
        <v>-3208648</v>
      </c>
    </row>
    <row r="45" spans="1:15" x14ac:dyDescent="0.25">
      <c r="A45" s="478"/>
      <c r="B45" s="478"/>
      <c r="C45" s="479"/>
      <c r="D45" s="479"/>
      <c r="E45" s="479"/>
      <c r="F45" s="479"/>
      <c r="G45" s="479"/>
      <c r="H45" s="479"/>
      <c r="I45" s="479"/>
      <c r="J45" s="479"/>
      <c r="K45" s="479"/>
      <c r="L45" s="542" t="s">
        <v>224</v>
      </c>
      <c r="M45" s="542"/>
      <c r="N45" s="480">
        <f>N16-N32</f>
        <v>-1316736</v>
      </c>
    </row>
    <row r="46" spans="1:15" ht="15.75" thickBot="1" x14ac:dyDescent="0.3">
      <c r="A46" s="543" t="s">
        <v>225</v>
      </c>
      <c r="B46" s="543"/>
      <c r="C46" s="543"/>
      <c r="D46" s="543"/>
      <c r="E46" s="543"/>
      <c r="F46" s="543"/>
      <c r="G46" s="543"/>
      <c r="H46" s="543"/>
      <c r="I46" s="543"/>
      <c r="J46" s="543"/>
      <c r="K46" s="543"/>
      <c r="L46" s="544" t="s">
        <v>226</v>
      </c>
      <c r="M46" s="544"/>
      <c r="N46" s="481">
        <f>N20-N37</f>
        <v>-16611</v>
      </c>
    </row>
  </sheetData>
  <mergeCells count="5">
    <mergeCell ref="A4:N4"/>
    <mergeCell ref="A5:H5"/>
    <mergeCell ref="L45:M45"/>
    <mergeCell ref="A46:K46"/>
    <mergeCell ref="L46:M46"/>
  </mergeCells>
  <pageMargins left="0.7" right="0.7" top="0.75" bottom="0.75" header="0.3" footer="0.3"/>
  <pageSetup paperSize="8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8" workbookViewId="0">
      <selection activeCell="D15" sqref="D15"/>
    </sheetView>
  </sheetViews>
  <sheetFormatPr baseColWidth="10" defaultRowHeight="15" x14ac:dyDescent="0.25"/>
  <cols>
    <col min="2" max="2" width="57.85546875" bestFit="1" customWidth="1"/>
    <col min="3" max="3" width="17" customWidth="1"/>
    <col min="4" max="4" width="16.140625" bestFit="1" customWidth="1"/>
    <col min="5" max="6" width="14.85546875" bestFit="1" customWidth="1"/>
    <col min="7" max="7" width="16.85546875" customWidth="1"/>
    <col min="8" max="8" width="12.7109375" bestFit="1" customWidth="1"/>
  </cols>
  <sheetData>
    <row r="1" spans="1:8" ht="18" x14ac:dyDescent="0.25">
      <c r="A1" s="257"/>
      <c r="B1" s="545" t="s">
        <v>184</v>
      </c>
      <c r="C1" s="545"/>
      <c r="D1" s="545"/>
      <c r="E1" s="545"/>
      <c r="F1" s="545"/>
      <c r="G1" s="545"/>
    </row>
    <row r="2" spans="1:8" ht="18" x14ac:dyDescent="0.25">
      <c r="A2" s="257"/>
      <c r="B2" s="545" t="s">
        <v>234</v>
      </c>
      <c r="C2" s="545"/>
      <c r="D2" s="545"/>
      <c r="E2" s="545"/>
      <c r="F2" s="545"/>
      <c r="G2" s="545"/>
    </row>
    <row r="3" spans="1:8" x14ac:dyDescent="0.25">
      <c r="A3" s="257"/>
      <c r="B3" s="267"/>
      <c r="C3" s="267"/>
      <c r="D3" s="267"/>
      <c r="E3" s="267"/>
      <c r="F3" s="267"/>
      <c r="G3" s="268"/>
    </row>
    <row r="4" spans="1:8" x14ac:dyDescent="0.25">
      <c r="A4" s="257"/>
      <c r="B4" s="269"/>
      <c r="C4" s="270"/>
      <c r="D4" s="270"/>
      <c r="E4" s="270"/>
      <c r="F4" s="270"/>
      <c r="G4" s="271"/>
    </row>
    <row r="5" spans="1:8" ht="23.25" x14ac:dyDescent="0.25">
      <c r="A5" s="257"/>
      <c r="B5" s="264" t="s">
        <v>43</v>
      </c>
      <c r="C5" s="274"/>
      <c r="D5" s="265"/>
      <c r="E5" s="272"/>
      <c r="F5" s="266"/>
      <c r="G5" s="272"/>
    </row>
    <row r="6" spans="1:8" ht="23.25" x14ac:dyDescent="0.25">
      <c r="A6" s="257"/>
      <c r="B6" s="260"/>
      <c r="C6" s="260"/>
      <c r="D6" s="260"/>
      <c r="E6" s="260"/>
      <c r="F6" s="260"/>
      <c r="G6" s="261"/>
    </row>
    <row r="7" spans="1:8" ht="15.75" x14ac:dyDescent="0.25">
      <c r="A7" s="257"/>
      <c r="B7" s="546" t="s">
        <v>235</v>
      </c>
      <c r="C7" s="546"/>
      <c r="D7" s="546"/>
      <c r="E7" s="546"/>
      <c r="F7" s="546"/>
      <c r="G7" s="546"/>
    </row>
    <row r="8" spans="1:8" ht="15.75" x14ac:dyDescent="0.25">
      <c r="A8" s="257"/>
      <c r="B8" s="262"/>
      <c r="C8" s="275"/>
      <c r="D8" s="275"/>
      <c r="E8" s="275"/>
      <c r="F8" s="275"/>
      <c r="G8" s="276"/>
    </row>
    <row r="9" spans="1:8" ht="30" x14ac:dyDescent="0.25">
      <c r="A9" s="257"/>
      <c r="B9" s="263"/>
      <c r="C9" s="277" t="s">
        <v>236</v>
      </c>
      <c r="D9" s="277" t="s">
        <v>237</v>
      </c>
      <c r="E9" s="278" t="s">
        <v>238</v>
      </c>
      <c r="F9" s="277" t="s">
        <v>239</v>
      </c>
      <c r="G9" s="278" t="s">
        <v>240</v>
      </c>
    </row>
    <row r="10" spans="1:8" ht="31.5" x14ac:dyDescent="0.25">
      <c r="A10" s="257"/>
      <c r="B10" s="302" t="s">
        <v>241</v>
      </c>
      <c r="C10" s="303"/>
      <c r="D10" s="304">
        <f>C12-C18</f>
        <v>3685200</v>
      </c>
      <c r="E10" s="304">
        <f>D10+D29</f>
        <v>2884545</v>
      </c>
      <c r="F10" s="303">
        <v>0</v>
      </c>
      <c r="G10" s="416">
        <f>F29</f>
        <v>-1000000</v>
      </c>
    </row>
    <row r="11" spans="1:8" ht="15.75" x14ac:dyDescent="0.25">
      <c r="A11" s="257"/>
      <c r="B11" s="279"/>
      <c r="C11" s="280"/>
      <c r="D11" s="281"/>
      <c r="E11" s="281"/>
      <c r="F11" s="280"/>
      <c r="G11" s="282"/>
    </row>
    <row r="12" spans="1:8" ht="15.75" x14ac:dyDescent="0.25">
      <c r="A12" s="257"/>
      <c r="B12" s="283" t="s">
        <v>242</v>
      </c>
      <c r="C12" s="284">
        <f>SUM(C14:C16)</f>
        <v>3940000</v>
      </c>
      <c r="D12" s="284">
        <f t="shared" ref="D12:G12" si="0">SUM(D14:D16)</f>
        <v>9424451</v>
      </c>
      <c r="E12" s="284">
        <f t="shared" si="0"/>
        <v>3320000</v>
      </c>
      <c r="F12" s="284">
        <f t="shared" si="0"/>
        <v>1500000</v>
      </c>
      <c r="G12" s="284">
        <f t="shared" si="0"/>
        <v>1000000</v>
      </c>
    </row>
    <row r="13" spans="1:8" ht="15.75" x14ac:dyDescent="0.25">
      <c r="A13" s="257"/>
      <c r="B13" s="279"/>
      <c r="C13" s="285"/>
      <c r="D13" s="282"/>
      <c r="E13" s="282"/>
      <c r="F13" s="282"/>
      <c r="G13" s="282"/>
    </row>
    <row r="14" spans="1:8" ht="15.75" x14ac:dyDescent="0.25">
      <c r="A14" s="257"/>
      <c r="B14" s="307" t="s">
        <v>243</v>
      </c>
      <c r="C14" s="282">
        <f>2160000+80000</f>
        <v>2240000</v>
      </c>
      <c r="D14" s="282">
        <f>2520000+1260000+393750+70000+180000+1901075</f>
        <v>6324825</v>
      </c>
      <c r="E14" s="282">
        <f>2520000</f>
        <v>2520000</v>
      </c>
      <c r="F14" s="282"/>
      <c r="G14" s="282"/>
      <c r="H14" s="309"/>
    </row>
    <row r="15" spans="1:8" ht="15.75" x14ac:dyDescent="0.25">
      <c r="A15" s="257"/>
      <c r="B15" s="287" t="s">
        <v>91</v>
      </c>
      <c r="C15" s="282">
        <v>1700000</v>
      </c>
      <c r="D15" s="282">
        <f>980000+1640000+300000</f>
        <v>2920000</v>
      </c>
      <c r="E15" s="282">
        <f>300000+500000</f>
        <v>800000</v>
      </c>
      <c r="F15" s="282">
        <v>1500000</v>
      </c>
      <c r="G15" s="282">
        <v>1000000</v>
      </c>
      <c r="H15" s="309"/>
    </row>
    <row r="16" spans="1:8" ht="15.75" x14ac:dyDescent="0.25">
      <c r="A16" s="257"/>
      <c r="B16" s="288" t="s">
        <v>92</v>
      </c>
      <c r="C16" s="289"/>
      <c r="D16" s="282">
        <v>179626</v>
      </c>
      <c r="E16" s="282"/>
      <c r="F16" s="282"/>
      <c r="G16" s="282"/>
    </row>
    <row r="17" spans="1:8" ht="15.75" x14ac:dyDescent="0.25">
      <c r="A17" s="257"/>
      <c r="B17" s="290"/>
      <c r="C17" s="289"/>
      <c r="D17" s="289"/>
      <c r="E17" s="282"/>
      <c r="F17" s="282"/>
      <c r="G17" s="282"/>
    </row>
    <row r="18" spans="1:8" ht="15.75" x14ac:dyDescent="0.25">
      <c r="A18" s="257"/>
      <c r="B18" s="283" t="s">
        <v>244</v>
      </c>
      <c r="C18" s="284">
        <f>C21+C24+C27</f>
        <v>254800</v>
      </c>
      <c r="D18" s="284">
        <f>D21+D24+D27</f>
        <v>10225106</v>
      </c>
      <c r="E18" s="284">
        <f t="shared" ref="E18:G18" si="1">E21+E24+E27</f>
        <v>4313300</v>
      </c>
      <c r="F18" s="284">
        <f t="shared" si="1"/>
        <v>2500000</v>
      </c>
      <c r="G18" s="284">
        <f t="shared" si="1"/>
        <v>0</v>
      </c>
    </row>
    <row r="19" spans="1:8" ht="15.75" x14ac:dyDescent="0.25">
      <c r="A19" s="257"/>
      <c r="B19" s="279"/>
      <c r="C19" s="291"/>
      <c r="D19" s="291"/>
      <c r="E19" s="291"/>
      <c r="F19" s="291"/>
      <c r="G19" s="291"/>
    </row>
    <row r="20" spans="1:8" ht="15.75" x14ac:dyDescent="0.25">
      <c r="A20" s="257"/>
      <c r="B20" s="288" t="s">
        <v>5</v>
      </c>
      <c r="C20" s="291"/>
      <c r="D20" s="291"/>
      <c r="E20" s="291"/>
      <c r="F20" s="291"/>
      <c r="G20" s="291"/>
    </row>
    <row r="21" spans="1:8" ht="15.75" x14ac:dyDescent="0.25">
      <c r="A21" s="257"/>
      <c r="B21" s="290" t="s">
        <v>245</v>
      </c>
      <c r="C21" s="291"/>
      <c r="D21" s="291"/>
      <c r="E21" s="291"/>
      <c r="F21" s="291"/>
      <c r="G21" s="291"/>
    </row>
    <row r="22" spans="1:8" ht="15.75" x14ac:dyDescent="0.25">
      <c r="A22" s="257"/>
      <c r="B22" s="288" t="s">
        <v>70</v>
      </c>
      <c r="C22" s="291"/>
      <c r="D22" s="291"/>
      <c r="E22" s="291"/>
      <c r="F22" s="291"/>
      <c r="G22" s="291"/>
    </row>
    <row r="23" spans="1:8" ht="15.75" x14ac:dyDescent="0.25">
      <c r="A23" s="257"/>
      <c r="B23" s="290" t="s">
        <v>51</v>
      </c>
      <c r="C23" s="291"/>
      <c r="D23" s="291">
        <f>980000+393750+70000+180000+1260000</f>
        <v>2883750</v>
      </c>
      <c r="E23" s="291"/>
      <c r="F23" s="291"/>
      <c r="G23" s="291"/>
    </row>
    <row r="24" spans="1:8" ht="15.75" x14ac:dyDescent="0.25">
      <c r="A24" s="257"/>
      <c r="B24" s="290" t="s">
        <v>52</v>
      </c>
      <c r="C24" s="291"/>
      <c r="D24" s="291">
        <f>393750+70000+980000+180000+1260000</f>
        <v>2883750</v>
      </c>
      <c r="E24" s="291"/>
      <c r="F24" s="291"/>
      <c r="G24" s="291"/>
    </row>
    <row r="25" spans="1:8" ht="15.75" x14ac:dyDescent="0.25">
      <c r="A25" s="257"/>
      <c r="B25" s="288" t="s">
        <v>50</v>
      </c>
      <c r="C25" s="291"/>
      <c r="D25" s="286"/>
      <c r="E25" s="273"/>
      <c r="F25" s="292"/>
      <c r="G25" s="291"/>
    </row>
    <row r="26" spans="1:8" ht="15.75" x14ac:dyDescent="0.25">
      <c r="A26" s="257"/>
      <c r="B26" s="290" t="s">
        <v>51</v>
      </c>
      <c r="C26" s="291">
        <v>1394700</v>
      </c>
      <c r="D26" s="291">
        <f>5805300+5000000+1640000+80000+48975960</f>
        <v>61501260</v>
      </c>
      <c r="E26" s="294"/>
      <c r="F26" s="294"/>
      <c r="G26" s="291"/>
      <c r="H26" s="309"/>
    </row>
    <row r="27" spans="1:8" ht="15.75" x14ac:dyDescent="0.25">
      <c r="A27" s="257"/>
      <c r="B27" s="290" t="s">
        <v>52</v>
      </c>
      <c r="C27" s="291">
        <v>254800</v>
      </c>
      <c r="D27" s="282">
        <f>4145000+1000000+80000+1000000+1116356</f>
        <v>7341356</v>
      </c>
      <c r="E27" s="308">
        <f>2813300+1500000</f>
        <v>4313300</v>
      </c>
      <c r="F27" s="308">
        <v>2500000</v>
      </c>
      <c r="G27" s="291"/>
      <c r="H27" s="366"/>
    </row>
    <row r="28" spans="1:8" ht="15.75" x14ac:dyDescent="0.25">
      <c r="A28" s="257"/>
      <c r="B28" s="290"/>
      <c r="C28" s="291"/>
      <c r="D28" s="293"/>
      <c r="E28" s="294"/>
      <c r="F28" s="294"/>
      <c r="G28" s="291"/>
    </row>
    <row r="29" spans="1:8" ht="31.5" x14ac:dyDescent="0.25">
      <c r="A29" s="257"/>
      <c r="B29" s="302" t="s">
        <v>246</v>
      </c>
      <c r="C29" s="305">
        <f>C12-C18</f>
        <v>3685200</v>
      </c>
      <c r="D29" s="306">
        <f>D12-D18</f>
        <v>-800655</v>
      </c>
      <c r="E29" s="306">
        <f>E12-E18</f>
        <v>-993300</v>
      </c>
      <c r="F29" s="306">
        <f>F12-F18</f>
        <v>-1000000</v>
      </c>
      <c r="G29" s="306">
        <f>G12-G18</f>
        <v>1000000</v>
      </c>
    </row>
    <row r="30" spans="1:8" ht="15.75" x14ac:dyDescent="0.25">
      <c r="A30" s="257"/>
      <c r="B30" s="258"/>
      <c r="C30" s="258"/>
      <c r="D30" s="295"/>
      <c r="E30" s="258"/>
      <c r="F30" s="258"/>
      <c r="G30" s="258"/>
    </row>
    <row r="31" spans="1:8" x14ac:dyDescent="0.25">
      <c r="A31" s="257"/>
      <c r="B31" s="258"/>
      <c r="C31" s="258"/>
      <c r="D31" s="258"/>
      <c r="E31" s="258"/>
      <c r="F31" s="258"/>
      <c r="G31" s="258"/>
    </row>
    <row r="32" spans="1:8" x14ac:dyDescent="0.25">
      <c r="A32" s="257"/>
      <c r="B32" s="296"/>
      <c r="C32" s="259"/>
      <c r="D32" s="259"/>
      <c r="E32" s="259"/>
      <c r="F32" s="259"/>
      <c r="G32" s="259"/>
    </row>
    <row r="33" spans="1:7" ht="15.75" x14ac:dyDescent="0.25">
      <c r="A33" s="257"/>
      <c r="B33" s="297"/>
      <c r="C33" s="298"/>
      <c r="D33" s="298"/>
      <c r="E33" s="298"/>
      <c r="F33" s="298"/>
      <c r="G33" s="298"/>
    </row>
    <row r="34" spans="1:7" ht="15.75" x14ac:dyDescent="0.25">
      <c r="A34" s="257"/>
      <c r="B34" s="299"/>
      <c r="C34" s="300"/>
      <c r="D34" s="300"/>
      <c r="E34" s="300"/>
      <c r="F34" s="298"/>
      <c r="G34" s="298"/>
    </row>
    <row r="35" spans="1:7" ht="15.75" x14ac:dyDescent="0.25">
      <c r="A35" s="257"/>
      <c r="B35" s="297"/>
      <c r="C35" s="298"/>
      <c r="D35" s="298"/>
      <c r="E35" s="298"/>
      <c r="F35" s="298"/>
      <c r="G35" s="298"/>
    </row>
    <row r="36" spans="1:7" x14ac:dyDescent="0.25">
      <c r="A36" s="257"/>
      <c r="B36" s="259"/>
      <c r="C36" s="259"/>
      <c r="D36" s="259"/>
      <c r="E36" s="259"/>
      <c r="F36" s="259"/>
      <c r="G36" s="259"/>
    </row>
    <row r="37" spans="1:7" ht="15.75" x14ac:dyDescent="0.25">
      <c r="A37" s="257"/>
      <c r="B37" s="259"/>
      <c r="C37" s="298"/>
      <c r="D37" s="259"/>
      <c r="E37" s="259"/>
      <c r="F37" s="259"/>
      <c r="G37" s="259"/>
    </row>
    <row r="38" spans="1:7" x14ac:dyDescent="0.25">
      <c r="A38" s="257"/>
      <c r="B38" s="301"/>
      <c r="C38" s="259"/>
      <c r="D38" s="259"/>
      <c r="E38" s="259"/>
      <c r="F38" s="259"/>
      <c r="G38" s="259"/>
    </row>
    <row r="39" spans="1:7" x14ac:dyDescent="0.25">
      <c r="A39" s="257"/>
      <c r="B39" s="259"/>
      <c r="C39" s="259"/>
      <c r="D39" s="259"/>
      <c r="E39" s="259"/>
      <c r="F39" s="259"/>
      <c r="G39" s="259"/>
    </row>
    <row r="40" spans="1:7" x14ac:dyDescent="0.25">
      <c r="A40" s="257"/>
      <c r="B40" s="259"/>
      <c r="C40" s="259"/>
      <c r="D40" s="259"/>
      <c r="E40" s="259"/>
      <c r="F40" s="259"/>
      <c r="G40" s="259"/>
    </row>
  </sheetData>
  <mergeCells count="3">
    <mergeCell ref="B1:G1"/>
    <mergeCell ref="B2:G2"/>
    <mergeCell ref="B7:G7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workbookViewId="0">
      <selection activeCell="H52" sqref="H52"/>
    </sheetView>
  </sheetViews>
  <sheetFormatPr baseColWidth="10" defaultRowHeight="15" x14ac:dyDescent="0.25"/>
  <cols>
    <col min="2" max="2" width="19" customWidth="1"/>
    <col min="3" max="7" width="13" bestFit="1" customWidth="1"/>
    <col min="8" max="8" width="14.42578125" bestFit="1" customWidth="1"/>
    <col min="9" max="10" width="13" bestFit="1" customWidth="1"/>
    <col min="12" max="12" width="13" bestFit="1" customWidth="1"/>
    <col min="13" max="14" width="12" bestFit="1" customWidth="1"/>
    <col min="15" max="15" width="15.5703125" bestFit="1" customWidth="1"/>
    <col min="17" max="17" width="12.7109375" bestFit="1" customWidth="1"/>
  </cols>
  <sheetData>
    <row r="1" spans="1:16" ht="18" x14ac:dyDescent="0.25">
      <c r="A1" s="314"/>
      <c r="B1" s="561" t="s">
        <v>249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312"/>
      <c r="O1" s="313"/>
      <c r="P1" s="313"/>
    </row>
    <row r="2" spans="1:16" ht="18" x14ac:dyDescent="0.25">
      <c r="A2" s="314"/>
      <c r="B2" s="561" t="s">
        <v>250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312"/>
      <c r="O2" s="313"/>
      <c r="P2" s="313"/>
    </row>
    <row r="3" spans="1:16" ht="23.25" x14ac:dyDescent="0.35">
      <c r="A3" s="315"/>
      <c r="B3" s="562" t="s">
        <v>0</v>
      </c>
      <c r="C3" s="562"/>
      <c r="D3" s="562"/>
      <c r="E3" s="562"/>
      <c r="F3" s="562"/>
      <c r="G3" s="562"/>
      <c r="H3" s="316"/>
      <c r="I3" s="311"/>
      <c r="J3" s="311"/>
      <c r="K3" s="311"/>
      <c r="L3" s="311"/>
      <c r="M3" s="311"/>
      <c r="N3" s="311"/>
      <c r="O3" s="311"/>
      <c r="P3" s="311"/>
    </row>
    <row r="4" spans="1:16" ht="15.75" x14ac:dyDescent="0.25">
      <c r="A4" s="362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4"/>
      <c r="O4" s="364"/>
      <c r="P4" s="364"/>
    </row>
    <row r="5" spans="1:16" x14ac:dyDescent="0.25">
      <c r="A5" s="365"/>
      <c r="B5" s="310"/>
      <c r="C5" s="310"/>
      <c r="D5" s="310"/>
      <c r="E5" s="310"/>
      <c r="F5" s="310"/>
      <c r="G5" s="310"/>
      <c r="H5" s="366"/>
      <c r="I5" s="310"/>
      <c r="J5" s="310"/>
      <c r="K5" s="310"/>
      <c r="L5" s="310"/>
      <c r="M5" s="310"/>
      <c r="N5" s="310"/>
      <c r="O5" s="310"/>
      <c r="P5" s="310"/>
    </row>
    <row r="6" spans="1:16" ht="15.75" x14ac:dyDescent="0.25">
      <c r="A6" s="310"/>
      <c r="B6" s="367" t="s">
        <v>251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10"/>
    </row>
    <row r="7" spans="1:16" ht="15.75" thickBot="1" x14ac:dyDescent="0.3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</row>
    <row r="8" spans="1:16" x14ac:dyDescent="0.25">
      <c r="A8" s="310"/>
      <c r="B8" s="563" t="s">
        <v>252</v>
      </c>
      <c r="C8" s="566" t="s">
        <v>253</v>
      </c>
      <c r="D8" s="568" t="s">
        <v>254</v>
      </c>
      <c r="E8" s="569"/>
      <c r="F8" s="569"/>
      <c r="G8" s="569"/>
      <c r="H8" s="570"/>
      <c r="I8" s="571" t="s">
        <v>255</v>
      </c>
      <c r="J8" s="572"/>
      <c r="K8" s="573"/>
      <c r="L8" s="573"/>
      <c r="M8" s="574"/>
      <c r="N8" s="550" t="s">
        <v>256</v>
      </c>
      <c r="O8" s="551"/>
      <c r="P8" s="369"/>
    </row>
    <row r="9" spans="1:16" ht="90" x14ac:dyDescent="0.25">
      <c r="A9" s="310"/>
      <c r="B9" s="564"/>
      <c r="C9" s="567"/>
      <c r="D9" s="402" t="s">
        <v>257</v>
      </c>
      <c r="E9" s="403" t="s">
        <v>258</v>
      </c>
      <c r="F9" s="404" t="s">
        <v>259</v>
      </c>
      <c r="G9" s="403" t="s">
        <v>260</v>
      </c>
      <c r="H9" s="405" t="s">
        <v>261</v>
      </c>
      <c r="I9" s="402" t="s">
        <v>262</v>
      </c>
      <c r="J9" s="403" t="s">
        <v>263</v>
      </c>
      <c r="K9" s="404" t="s">
        <v>264</v>
      </c>
      <c r="L9" s="403" t="s">
        <v>265</v>
      </c>
      <c r="M9" s="406" t="s">
        <v>266</v>
      </c>
      <c r="N9" s="370" t="s">
        <v>267</v>
      </c>
      <c r="O9" s="371" t="s">
        <v>268</v>
      </c>
      <c r="P9" s="369"/>
    </row>
    <row r="10" spans="1:16" x14ac:dyDescent="0.25">
      <c r="A10" s="310"/>
      <c r="B10" s="565"/>
      <c r="C10" s="372" t="s">
        <v>269</v>
      </c>
      <c r="D10" s="373" t="s">
        <v>270</v>
      </c>
      <c r="E10" s="374" t="s">
        <v>271</v>
      </c>
      <c r="F10" s="374" t="s">
        <v>272</v>
      </c>
      <c r="G10" s="374" t="s">
        <v>273</v>
      </c>
      <c r="H10" s="375" t="s">
        <v>274</v>
      </c>
      <c r="I10" s="373" t="s">
        <v>275</v>
      </c>
      <c r="J10" s="374" t="s">
        <v>276</v>
      </c>
      <c r="K10" s="374" t="s">
        <v>277</v>
      </c>
      <c r="L10" s="374" t="s">
        <v>278</v>
      </c>
      <c r="M10" s="375" t="s">
        <v>279</v>
      </c>
      <c r="N10" s="376" t="s">
        <v>280</v>
      </c>
      <c r="O10" s="377" t="s">
        <v>281</v>
      </c>
      <c r="P10" s="378"/>
    </row>
    <row r="11" spans="1:16" x14ac:dyDescent="0.25">
      <c r="A11" s="379"/>
      <c r="B11" s="380" t="s">
        <v>282</v>
      </c>
      <c r="C11" s="317"/>
      <c r="D11" s="318"/>
      <c r="E11" s="319"/>
      <c r="F11" s="319"/>
      <c r="G11" s="319"/>
      <c r="H11" s="320"/>
      <c r="I11" s="318"/>
      <c r="J11" s="321"/>
      <c r="K11" s="321"/>
      <c r="L11" s="321"/>
      <c r="M11" s="322"/>
      <c r="N11" s="318"/>
      <c r="O11" s="323"/>
      <c r="P11" s="381"/>
    </row>
    <row r="12" spans="1:16" x14ac:dyDescent="0.25">
      <c r="A12" s="379"/>
      <c r="B12" s="382" t="s">
        <v>283</v>
      </c>
      <c r="C12" s="324"/>
      <c r="D12" s="325"/>
      <c r="E12" s="326"/>
      <c r="F12" s="327"/>
      <c r="G12" s="328"/>
      <c r="H12" s="329"/>
      <c r="I12" s="325"/>
      <c r="J12" s="328"/>
      <c r="K12" s="328"/>
      <c r="L12" s="328"/>
      <c r="M12" s="329"/>
      <c r="N12" s="325"/>
      <c r="O12" s="330"/>
      <c r="P12" s="381"/>
    </row>
    <row r="13" spans="1:16" x14ac:dyDescent="0.25">
      <c r="A13" s="379"/>
      <c r="B13" s="382" t="s">
        <v>284</v>
      </c>
      <c r="C13" s="324"/>
      <c r="D13" s="325"/>
      <c r="E13" s="326"/>
      <c r="F13" s="326"/>
      <c r="G13" s="326"/>
      <c r="H13" s="331"/>
      <c r="I13" s="325"/>
      <c r="J13" s="328"/>
      <c r="K13" s="328"/>
      <c r="L13" s="328"/>
      <c r="M13" s="329"/>
      <c r="N13" s="325"/>
      <c r="O13" s="330"/>
      <c r="P13" s="379"/>
    </row>
    <row r="14" spans="1:16" ht="38.25" x14ac:dyDescent="0.25">
      <c r="A14" s="379"/>
      <c r="B14" s="383" t="s">
        <v>285</v>
      </c>
      <c r="C14" s="332"/>
      <c r="D14" s="333"/>
      <c r="E14" s="334"/>
      <c r="F14" s="334"/>
      <c r="G14" s="334"/>
      <c r="H14" s="335"/>
      <c r="I14" s="333"/>
      <c r="J14" s="336"/>
      <c r="K14" s="336"/>
      <c r="L14" s="336"/>
      <c r="M14" s="337"/>
      <c r="N14" s="333"/>
      <c r="O14" s="338"/>
      <c r="P14" s="379"/>
    </row>
    <row r="15" spans="1:16" x14ac:dyDescent="0.25">
      <c r="A15" s="379"/>
      <c r="B15" s="380" t="s">
        <v>282</v>
      </c>
      <c r="C15" s="317"/>
      <c r="D15" s="318"/>
      <c r="E15" s="319"/>
      <c r="F15" s="319"/>
      <c r="G15" s="319"/>
      <c r="H15" s="320"/>
      <c r="I15" s="318"/>
      <c r="J15" s="321"/>
      <c r="K15" s="321"/>
      <c r="L15" s="321"/>
      <c r="M15" s="322"/>
      <c r="N15" s="318"/>
      <c r="O15" s="323"/>
      <c r="P15" s="381"/>
    </row>
    <row r="16" spans="1:16" x14ac:dyDescent="0.25">
      <c r="A16" s="379"/>
      <c r="B16" s="382" t="s">
        <v>283</v>
      </c>
      <c r="C16" s="324"/>
      <c r="D16" s="325"/>
      <c r="E16" s="326"/>
      <c r="F16" s="327"/>
      <c r="G16" s="328"/>
      <c r="H16" s="329"/>
      <c r="I16" s="325"/>
      <c r="J16" s="328"/>
      <c r="K16" s="328"/>
      <c r="L16" s="328"/>
      <c r="M16" s="329"/>
      <c r="N16" s="325"/>
      <c r="O16" s="330"/>
      <c r="P16" s="381"/>
    </row>
    <row r="17" spans="1:17" x14ac:dyDescent="0.25">
      <c r="A17" s="379"/>
      <c r="B17" s="382" t="s">
        <v>284</v>
      </c>
      <c r="C17" s="324"/>
      <c r="D17" s="325"/>
      <c r="E17" s="326"/>
      <c r="F17" s="326"/>
      <c r="G17" s="326"/>
      <c r="H17" s="331"/>
      <c r="I17" s="325"/>
      <c r="J17" s="328"/>
      <c r="K17" s="328"/>
      <c r="L17" s="328"/>
      <c r="M17" s="329"/>
      <c r="N17" s="325"/>
      <c r="O17" s="330"/>
      <c r="P17" s="379"/>
    </row>
    <row r="18" spans="1:17" ht="25.5" x14ac:dyDescent="0.25">
      <c r="A18" s="379"/>
      <c r="B18" s="383" t="s">
        <v>286</v>
      </c>
      <c r="C18" s="332"/>
      <c r="D18" s="333"/>
      <c r="E18" s="334"/>
      <c r="F18" s="334"/>
      <c r="G18" s="334"/>
      <c r="H18" s="335"/>
      <c r="I18" s="333"/>
      <c r="J18" s="336"/>
      <c r="K18" s="336"/>
      <c r="L18" s="336"/>
      <c r="M18" s="337"/>
      <c r="N18" s="333"/>
      <c r="O18" s="338"/>
      <c r="P18" s="379"/>
    </row>
    <row r="19" spans="1:17" x14ac:dyDescent="0.25">
      <c r="A19" s="379"/>
      <c r="B19" s="380" t="s">
        <v>282</v>
      </c>
      <c r="C19" s="317"/>
      <c r="D19" s="318"/>
      <c r="E19" s="319"/>
      <c r="F19" s="319"/>
      <c r="G19" s="319"/>
      <c r="H19" s="320"/>
      <c r="I19" s="318"/>
      <c r="J19" s="321"/>
      <c r="K19" s="321"/>
      <c r="L19" s="321"/>
      <c r="M19" s="322"/>
      <c r="N19" s="318"/>
      <c r="O19" s="323"/>
      <c r="P19" s="381"/>
    </row>
    <row r="20" spans="1:17" x14ac:dyDescent="0.25">
      <c r="A20" s="379"/>
      <c r="B20" s="382" t="s">
        <v>283</v>
      </c>
      <c r="C20" s="324"/>
      <c r="D20" s="325"/>
      <c r="E20" s="326"/>
      <c r="F20" s="327"/>
      <c r="G20" s="328"/>
      <c r="H20" s="329"/>
      <c r="I20" s="325"/>
      <c r="J20" s="328"/>
      <c r="K20" s="328"/>
      <c r="L20" s="328"/>
      <c r="M20" s="329"/>
      <c r="N20" s="325"/>
      <c r="O20" s="330"/>
      <c r="P20" s="381"/>
    </row>
    <row r="21" spans="1:17" x14ac:dyDescent="0.25">
      <c r="A21" s="379"/>
      <c r="B21" s="382" t="s">
        <v>284</v>
      </c>
      <c r="C21" s="324"/>
      <c r="D21" s="325"/>
      <c r="E21" s="326"/>
      <c r="F21" s="326"/>
      <c r="G21" s="326"/>
      <c r="H21" s="331"/>
      <c r="I21" s="325"/>
      <c r="J21" s="328"/>
      <c r="K21" s="328"/>
      <c r="L21" s="328"/>
      <c r="M21" s="329"/>
      <c r="N21" s="325"/>
      <c r="O21" s="330"/>
      <c r="P21" s="379"/>
    </row>
    <row r="22" spans="1:17" ht="25.5" x14ac:dyDescent="0.25">
      <c r="A22" s="379"/>
      <c r="B22" s="383" t="s">
        <v>287</v>
      </c>
      <c r="C22" s="332"/>
      <c r="D22" s="333"/>
      <c r="E22" s="334"/>
      <c r="F22" s="334"/>
      <c r="G22" s="334"/>
      <c r="H22" s="335"/>
      <c r="I22" s="333"/>
      <c r="J22" s="336"/>
      <c r="K22" s="336"/>
      <c r="L22" s="336"/>
      <c r="M22" s="337"/>
      <c r="N22" s="333"/>
      <c r="O22" s="338"/>
      <c r="P22" s="379"/>
    </row>
    <row r="23" spans="1:17" x14ac:dyDescent="0.25">
      <c r="A23" s="379"/>
      <c r="B23" s="411" t="s">
        <v>248</v>
      </c>
      <c r="C23" s="317">
        <v>7200000</v>
      </c>
      <c r="D23" s="318">
        <v>1394700</v>
      </c>
      <c r="E23" s="319">
        <v>1394700</v>
      </c>
      <c r="F23" s="319">
        <f>E23-D23</f>
        <v>0</v>
      </c>
      <c r="G23" s="319">
        <v>5805300</v>
      </c>
      <c r="H23" s="320">
        <f>G23+F23</f>
        <v>5805300</v>
      </c>
      <c r="I23" s="318">
        <v>254800</v>
      </c>
      <c r="J23" s="321">
        <v>254800</v>
      </c>
      <c r="K23" s="321">
        <f>I23-J23</f>
        <v>0</v>
      </c>
      <c r="L23" s="321">
        <v>4145000</v>
      </c>
      <c r="M23" s="322">
        <f>K23+L23</f>
        <v>4145000</v>
      </c>
      <c r="N23" s="318">
        <f>C23-E23-H23</f>
        <v>0</v>
      </c>
      <c r="O23" s="323">
        <f>E23+H23-J23-M23</f>
        <v>2800200</v>
      </c>
      <c r="P23" s="381"/>
    </row>
    <row r="24" spans="1:17" x14ac:dyDescent="0.25">
      <c r="A24" s="379"/>
      <c r="B24" s="412" t="s">
        <v>310</v>
      </c>
      <c r="C24" s="324">
        <v>5000000</v>
      </c>
      <c r="D24" s="325"/>
      <c r="E24" s="326"/>
      <c r="F24" s="327"/>
      <c r="G24" s="328">
        <v>5000000</v>
      </c>
      <c r="H24" s="329">
        <f>G24+F24</f>
        <v>5000000</v>
      </c>
      <c r="I24" s="325"/>
      <c r="J24" s="328"/>
      <c r="K24" s="328"/>
      <c r="L24" s="328">
        <v>1000000</v>
      </c>
      <c r="M24" s="329">
        <f>K24+L24</f>
        <v>1000000</v>
      </c>
      <c r="N24" s="325">
        <f>C24-E24-H24</f>
        <v>0</v>
      </c>
      <c r="O24" s="330">
        <f>E24+H24-J24-M24</f>
        <v>4000000</v>
      </c>
      <c r="P24" s="381"/>
      <c r="Q24" s="309"/>
    </row>
    <row r="25" spans="1:17" x14ac:dyDescent="0.25">
      <c r="A25" s="379"/>
      <c r="B25" s="412" t="s">
        <v>317</v>
      </c>
      <c r="C25" s="324">
        <f>48975960+14467487.38</f>
        <v>63443447.380000003</v>
      </c>
      <c r="D25" s="325">
        <v>12827487.380000001</v>
      </c>
      <c r="E25" s="326">
        <v>12827487.380000001</v>
      </c>
      <c r="F25" s="326"/>
      <c r="G25" s="326">
        <f>48975960+1640000</f>
        <v>50615960</v>
      </c>
      <c r="H25" s="329">
        <f>G25+F25</f>
        <v>50615960</v>
      </c>
      <c r="I25" s="325">
        <v>12827487.380000001</v>
      </c>
      <c r="J25" s="328">
        <v>12827487.380000001</v>
      </c>
      <c r="K25" s="328"/>
      <c r="L25" s="328">
        <f>1116356+1640000</f>
        <v>2756356</v>
      </c>
      <c r="M25" s="329">
        <f>K25+L25</f>
        <v>2756356</v>
      </c>
      <c r="N25" s="325"/>
      <c r="O25" s="330">
        <f>E25+H25-J25-M25</f>
        <v>47859604</v>
      </c>
      <c r="P25" s="379"/>
      <c r="Q25" s="417"/>
    </row>
    <row r="26" spans="1:17" ht="38.25" x14ac:dyDescent="0.25">
      <c r="A26" s="379"/>
      <c r="B26" s="383" t="s">
        <v>288</v>
      </c>
      <c r="C26" s="332">
        <f>SUM(C23:C25)</f>
        <v>75643447.379999995</v>
      </c>
      <c r="D26" s="333">
        <f t="shared" ref="D26:O26" si="0">SUM(D23:D25)</f>
        <v>14222187.380000001</v>
      </c>
      <c r="E26" s="334">
        <f t="shared" si="0"/>
        <v>14222187.380000001</v>
      </c>
      <c r="F26" s="334">
        <f t="shared" si="0"/>
        <v>0</v>
      </c>
      <c r="G26" s="334">
        <f t="shared" si="0"/>
        <v>61421260</v>
      </c>
      <c r="H26" s="335">
        <f t="shared" si="0"/>
        <v>61421260</v>
      </c>
      <c r="I26" s="333">
        <f t="shared" si="0"/>
        <v>13082287.380000001</v>
      </c>
      <c r="J26" s="336">
        <f t="shared" si="0"/>
        <v>13082287.380000001</v>
      </c>
      <c r="K26" s="336">
        <f t="shared" si="0"/>
        <v>0</v>
      </c>
      <c r="L26" s="336">
        <f t="shared" si="0"/>
        <v>7901356</v>
      </c>
      <c r="M26" s="337">
        <f t="shared" si="0"/>
        <v>7901356</v>
      </c>
      <c r="N26" s="333">
        <f t="shared" si="0"/>
        <v>0</v>
      </c>
      <c r="O26" s="338">
        <f t="shared" si="0"/>
        <v>54659804</v>
      </c>
      <c r="P26" s="379"/>
    </row>
    <row r="27" spans="1:17" ht="15.75" thickBot="1" x14ac:dyDescent="0.3">
      <c r="A27" s="379"/>
      <c r="B27" s="407" t="s">
        <v>65</v>
      </c>
      <c r="C27" s="355"/>
      <c r="D27" s="356"/>
      <c r="E27" s="357"/>
      <c r="F27" s="357"/>
      <c r="G27" s="357"/>
      <c r="H27" s="358"/>
      <c r="I27" s="356"/>
      <c r="J27" s="357"/>
      <c r="K27" s="357"/>
      <c r="L27" s="357"/>
      <c r="M27" s="358"/>
      <c r="N27" s="356"/>
      <c r="O27" s="359"/>
      <c r="P27" s="381"/>
    </row>
    <row r="28" spans="1:17" x14ac:dyDescent="0.25">
      <c r="A28" s="379"/>
      <c r="B28" s="552" t="s">
        <v>289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4"/>
      <c r="P28" s="381"/>
    </row>
    <row r="29" spans="1:17" x14ac:dyDescent="0.25">
      <c r="A29" s="389"/>
      <c r="B29" s="390" t="s">
        <v>290</v>
      </c>
      <c r="C29" s="332"/>
      <c r="D29" s="333"/>
      <c r="E29" s="334"/>
      <c r="F29" s="334"/>
      <c r="G29" s="334"/>
      <c r="H29" s="335"/>
      <c r="I29" s="333"/>
      <c r="J29" s="336"/>
      <c r="K29" s="336"/>
      <c r="L29" s="336"/>
      <c r="M29" s="337"/>
      <c r="N29" s="333"/>
      <c r="O29" s="339"/>
      <c r="P29" s="391"/>
    </row>
    <row r="30" spans="1:17" ht="38.25" x14ac:dyDescent="0.25">
      <c r="A30" s="389"/>
      <c r="B30" s="390" t="s">
        <v>291</v>
      </c>
      <c r="C30" s="332"/>
      <c r="D30" s="333"/>
      <c r="E30" s="334"/>
      <c r="F30" s="340"/>
      <c r="G30" s="336"/>
      <c r="H30" s="337"/>
      <c r="I30" s="333"/>
      <c r="J30" s="336"/>
      <c r="K30" s="336"/>
      <c r="L30" s="336"/>
      <c r="M30" s="337"/>
      <c r="N30" s="333"/>
      <c r="O30" s="338"/>
      <c r="P30" s="391"/>
    </row>
    <row r="31" spans="1:17" ht="25.5" x14ac:dyDescent="0.25">
      <c r="A31" s="379"/>
      <c r="B31" s="390" t="s">
        <v>292</v>
      </c>
      <c r="C31" s="341">
        <f t="shared" ref="C31:J31" si="1">+C26</f>
        <v>75643447.379999995</v>
      </c>
      <c r="D31" s="342">
        <f t="shared" si="1"/>
        <v>14222187.380000001</v>
      </c>
      <c r="E31" s="343">
        <f t="shared" si="1"/>
        <v>14222187.380000001</v>
      </c>
      <c r="F31" s="343">
        <f t="shared" si="1"/>
        <v>0</v>
      </c>
      <c r="G31" s="343">
        <f t="shared" si="1"/>
        <v>61421260</v>
      </c>
      <c r="H31" s="344">
        <f t="shared" si="1"/>
        <v>61421260</v>
      </c>
      <c r="I31" s="342">
        <f t="shared" si="1"/>
        <v>13082287.380000001</v>
      </c>
      <c r="J31" s="345">
        <f t="shared" si="1"/>
        <v>13082287.380000001</v>
      </c>
      <c r="K31" s="345">
        <f t="shared" ref="K31:N31" si="2">+K26</f>
        <v>0</v>
      </c>
      <c r="L31" s="345">
        <f t="shared" si="2"/>
        <v>7901356</v>
      </c>
      <c r="M31" s="346">
        <f t="shared" si="2"/>
        <v>7901356</v>
      </c>
      <c r="N31" s="342">
        <f t="shared" si="2"/>
        <v>0</v>
      </c>
      <c r="O31" s="347">
        <f>+O26</f>
        <v>54659804</v>
      </c>
      <c r="P31" s="381"/>
    </row>
    <row r="32" spans="1:17" x14ac:dyDescent="0.25">
      <c r="A32" s="379"/>
      <c r="B32" s="381"/>
      <c r="C32" s="381"/>
      <c r="D32" s="381"/>
      <c r="E32" s="392"/>
      <c r="F32" s="392"/>
      <c r="G32" s="392"/>
      <c r="H32" s="381"/>
      <c r="I32" s="392"/>
      <c r="J32" s="392"/>
      <c r="K32" s="392"/>
      <c r="L32" s="392"/>
      <c r="M32" s="392"/>
      <c r="N32" s="392"/>
      <c r="O32" s="392"/>
      <c r="P32" s="381"/>
    </row>
    <row r="33" spans="1:15" ht="15.75" x14ac:dyDescent="0.25">
      <c r="A33" s="379"/>
      <c r="B33" s="393" t="s">
        <v>293</v>
      </c>
      <c r="C33" s="394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</row>
    <row r="34" spans="1:15" ht="15.75" thickBot="1" x14ac:dyDescent="0.3">
      <c r="A34" s="379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</row>
    <row r="35" spans="1:15" x14ac:dyDescent="0.25">
      <c r="A35" s="379"/>
      <c r="B35" s="558" t="s">
        <v>252</v>
      </c>
      <c r="C35" s="555" t="s">
        <v>253</v>
      </c>
      <c r="D35" s="555" t="s">
        <v>294</v>
      </c>
      <c r="E35" s="550" t="s">
        <v>295</v>
      </c>
      <c r="F35" s="557"/>
      <c r="G35" s="557"/>
      <c r="H35" s="551"/>
      <c r="I35" s="381"/>
      <c r="J35" s="381"/>
      <c r="K35" s="381"/>
      <c r="L35" s="381"/>
      <c r="M35" s="381"/>
      <c r="N35" s="381"/>
      <c r="O35" s="381"/>
    </row>
    <row r="36" spans="1:15" ht="63.75" x14ac:dyDescent="0.25">
      <c r="A36" s="379"/>
      <c r="B36" s="559"/>
      <c r="C36" s="556"/>
      <c r="D36" s="556"/>
      <c r="E36" s="408" t="s">
        <v>296</v>
      </c>
      <c r="F36" s="409" t="s">
        <v>297</v>
      </c>
      <c r="G36" s="404" t="s">
        <v>298</v>
      </c>
      <c r="H36" s="410" t="s">
        <v>299</v>
      </c>
      <c r="I36" s="381"/>
      <c r="J36" s="381"/>
      <c r="K36" s="381"/>
      <c r="L36" s="381"/>
      <c r="M36" s="381"/>
      <c r="N36" s="381"/>
      <c r="O36" s="381"/>
    </row>
    <row r="37" spans="1:15" x14ac:dyDescent="0.25">
      <c r="A37" s="379"/>
      <c r="B37" s="560"/>
      <c r="C37" s="372" t="s">
        <v>269</v>
      </c>
      <c r="D37" s="396" t="s">
        <v>300</v>
      </c>
      <c r="E37" s="373" t="s">
        <v>301</v>
      </c>
      <c r="F37" s="397" t="s">
        <v>302</v>
      </c>
      <c r="G37" s="374" t="s">
        <v>303</v>
      </c>
      <c r="H37" s="398" t="s">
        <v>304</v>
      </c>
      <c r="I37" s="381"/>
      <c r="J37" s="381"/>
      <c r="K37" s="381"/>
      <c r="L37" s="381"/>
      <c r="M37" s="381"/>
      <c r="N37" s="381"/>
      <c r="O37" s="381"/>
    </row>
    <row r="38" spans="1:15" x14ac:dyDescent="0.25">
      <c r="A38" s="379"/>
      <c r="B38" s="380" t="s">
        <v>282</v>
      </c>
      <c r="C38" s="317"/>
      <c r="D38" s="348"/>
      <c r="E38" s="318"/>
      <c r="F38" s="349"/>
      <c r="G38" s="321"/>
      <c r="H38" s="350"/>
      <c r="I38" s="381"/>
      <c r="J38" s="381"/>
      <c r="K38" s="381"/>
      <c r="L38" s="381"/>
      <c r="M38" s="381"/>
      <c r="N38" s="381"/>
      <c r="O38" s="381"/>
    </row>
    <row r="39" spans="1:15" x14ac:dyDescent="0.25">
      <c r="A39" s="379"/>
      <c r="B39" s="382" t="s">
        <v>283</v>
      </c>
      <c r="C39" s="324"/>
      <c r="D39" s="351"/>
      <c r="E39" s="325"/>
      <c r="F39" s="352"/>
      <c r="G39" s="328"/>
      <c r="H39" s="330"/>
      <c r="I39" s="381"/>
      <c r="J39" s="381"/>
      <c r="K39" s="381"/>
      <c r="L39" s="381"/>
      <c r="M39" s="381"/>
      <c r="N39" s="381"/>
      <c r="O39" s="381"/>
    </row>
    <row r="40" spans="1:15" x14ac:dyDescent="0.25">
      <c r="A40" s="379"/>
      <c r="B40" s="382" t="s">
        <v>284</v>
      </c>
      <c r="C40" s="324"/>
      <c r="D40" s="351"/>
      <c r="E40" s="325"/>
      <c r="F40" s="352"/>
      <c r="G40" s="328"/>
      <c r="H40" s="330"/>
      <c r="I40" s="381"/>
      <c r="J40" s="381"/>
      <c r="K40" s="381"/>
      <c r="L40" s="381"/>
      <c r="M40" s="381"/>
      <c r="N40" s="381"/>
      <c r="O40" s="381"/>
    </row>
    <row r="41" spans="1:15" ht="25.5" x14ac:dyDescent="0.25">
      <c r="A41" s="379"/>
      <c r="B41" s="383" t="s">
        <v>285</v>
      </c>
      <c r="C41" s="332"/>
      <c r="D41" s="353"/>
      <c r="E41" s="333"/>
      <c r="F41" s="354"/>
      <c r="G41" s="336"/>
      <c r="H41" s="338"/>
      <c r="I41" s="381"/>
      <c r="J41" s="381"/>
      <c r="K41" s="381"/>
      <c r="L41" s="381"/>
      <c r="M41" s="381"/>
      <c r="N41" s="381"/>
      <c r="O41" s="381"/>
    </row>
    <row r="42" spans="1:15" x14ac:dyDescent="0.25">
      <c r="A42" s="379"/>
      <c r="B42" s="399" t="s">
        <v>282</v>
      </c>
      <c r="C42" s="324"/>
      <c r="D42" s="351"/>
      <c r="E42" s="325"/>
      <c r="F42" s="352"/>
      <c r="G42" s="328"/>
      <c r="H42" s="330"/>
      <c r="I42" s="381"/>
      <c r="J42" s="381"/>
      <c r="K42" s="381"/>
      <c r="L42" s="381"/>
      <c r="M42" s="381"/>
      <c r="N42" s="381"/>
      <c r="O42" s="381"/>
    </row>
    <row r="43" spans="1:15" x14ac:dyDescent="0.25">
      <c r="A43" s="379"/>
      <c r="B43" s="382" t="s">
        <v>283</v>
      </c>
      <c r="C43" s="324"/>
      <c r="D43" s="351"/>
      <c r="E43" s="325"/>
      <c r="F43" s="352"/>
      <c r="G43" s="328"/>
      <c r="H43" s="330"/>
      <c r="I43" s="381"/>
      <c r="J43" s="381"/>
      <c r="K43" s="381"/>
      <c r="L43" s="381"/>
      <c r="M43" s="381"/>
      <c r="N43" s="381"/>
      <c r="O43" s="381"/>
    </row>
    <row r="44" spans="1:15" x14ac:dyDescent="0.25">
      <c r="A44" s="379"/>
      <c r="B44" s="382" t="s">
        <v>284</v>
      </c>
      <c r="C44" s="324"/>
      <c r="D44" s="351"/>
      <c r="E44" s="325"/>
      <c r="F44" s="352"/>
      <c r="G44" s="328"/>
      <c r="H44" s="330"/>
      <c r="I44" s="381"/>
      <c r="J44" s="381"/>
      <c r="K44" s="381"/>
      <c r="L44" s="381"/>
      <c r="M44" s="381"/>
      <c r="N44" s="381"/>
      <c r="O44" s="381"/>
    </row>
    <row r="45" spans="1:15" ht="25.5" x14ac:dyDescent="0.25">
      <c r="A45" s="379"/>
      <c r="B45" s="383" t="s">
        <v>286</v>
      </c>
      <c r="C45" s="332"/>
      <c r="D45" s="353"/>
      <c r="E45" s="333"/>
      <c r="F45" s="354"/>
      <c r="G45" s="336"/>
      <c r="H45" s="338"/>
      <c r="I45" s="381"/>
      <c r="J45" s="381"/>
      <c r="K45" s="381"/>
      <c r="L45" s="381"/>
      <c r="M45" s="381"/>
      <c r="N45" s="381"/>
      <c r="O45" s="381"/>
    </row>
    <row r="46" spans="1:15" x14ac:dyDescent="0.25">
      <c r="A46" s="379"/>
      <c r="B46" s="399" t="s">
        <v>282</v>
      </c>
      <c r="C46" s="324"/>
      <c r="D46" s="351"/>
      <c r="E46" s="325"/>
      <c r="F46" s="352"/>
      <c r="G46" s="328"/>
      <c r="H46" s="330"/>
      <c r="I46" s="381"/>
      <c r="J46" s="381"/>
      <c r="K46" s="381"/>
      <c r="L46" s="381"/>
      <c r="M46" s="381"/>
      <c r="N46" s="381"/>
      <c r="O46" s="381"/>
    </row>
    <row r="47" spans="1:15" x14ac:dyDescent="0.25">
      <c r="A47" s="379"/>
      <c r="B47" s="382" t="s">
        <v>283</v>
      </c>
      <c r="C47" s="324"/>
      <c r="D47" s="351"/>
      <c r="E47" s="325"/>
      <c r="F47" s="352"/>
      <c r="G47" s="328"/>
      <c r="H47" s="330"/>
      <c r="I47" s="381"/>
      <c r="J47" s="381"/>
      <c r="K47" s="381"/>
      <c r="L47" s="381"/>
      <c r="M47" s="381"/>
      <c r="N47" s="381"/>
      <c r="O47" s="381"/>
    </row>
    <row r="48" spans="1:15" x14ac:dyDescent="0.25">
      <c r="A48" s="379"/>
      <c r="B48" s="382" t="s">
        <v>284</v>
      </c>
      <c r="C48" s="324"/>
      <c r="D48" s="351"/>
      <c r="E48" s="325"/>
      <c r="F48" s="352"/>
      <c r="G48" s="328"/>
      <c r="H48" s="330"/>
      <c r="I48" s="381"/>
      <c r="J48" s="381"/>
      <c r="K48" s="381"/>
      <c r="L48" s="381"/>
      <c r="M48" s="381"/>
      <c r="N48" s="381"/>
      <c r="O48" s="381"/>
    </row>
    <row r="49" spans="1:16" ht="25.5" x14ac:dyDescent="0.25">
      <c r="A49" s="379"/>
      <c r="B49" s="383" t="s">
        <v>287</v>
      </c>
      <c r="C49" s="332"/>
      <c r="D49" s="353"/>
      <c r="E49" s="333"/>
      <c r="F49" s="354"/>
      <c r="G49" s="336"/>
      <c r="H49" s="338"/>
      <c r="I49" s="381"/>
      <c r="J49" s="381"/>
      <c r="K49" s="381"/>
      <c r="L49" s="381"/>
      <c r="M49" s="381"/>
      <c r="N49" s="381"/>
      <c r="O49" s="381"/>
      <c r="P49" s="381"/>
    </row>
    <row r="50" spans="1:16" x14ac:dyDescent="0.25">
      <c r="A50" s="379"/>
      <c r="B50" s="411" t="s">
        <v>248</v>
      </c>
      <c r="C50" s="324">
        <v>7200000</v>
      </c>
      <c r="D50" s="351"/>
      <c r="E50" s="325">
        <f>+C50-D50</f>
        <v>7200000</v>
      </c>
      <c r="F50" s="352">
        <v>2160000</v>
      </c>
      <c r="G50" s="328">
        <v>2520000</v>
      </c>
      <c r="H50" s="330">
        <f>+E50-F50-G50</f>
        <v>2520000</v>
      </c>
      <c r="I50" s="381"/>
      <c r="J50" s="381"/>
      <c r="K50" s="381"/>
      <c r="L50" s="381"/>
      <c r="M50" s="381"/>
      <c r="N50" s="381"/>
      <c r="O50" s="381"/>
      <c r="P50" s="381"/>
    </row>
    <row r="51" spans="1:16" x14ac:dyDescent="0.25">
      <c r="A51" s="379"/>
      <c r="B51" s="412" t="s">
        <v>310</v>
      </c>
      <c r="C51" s="324">
        <v>5000000</v>
      </c>
      <c r="D51" s="351"/>
      <c r="E51" s="325">
        <f t="shared" ref="E51" si="3">+C51-D51</f>
        <v>5000000</v>
      </c>
      <c r="F51" s="352">
        <v>1700000</v>
      </c>
      <c r="G51" s="328">
        <f>1260000</f>
        <v>1260000</v>
      </c>
      <c r="H51" s="330">
        <f>+E51-F51-G51</f>
        <v>2040000</v>
      </c>
      <c r="I51" s="381"/>
      <c r="J51" s="381"/>
      <c r="K51" s="381"/>
      <c r="L51" s="381"/>
      <c r="M51" s="381"/>
      <c r="N51" s="381"/>
      <c r="O51" s="381"/>
      <c r="P51" s="381"/>
    </row>
    <row r="52" spans="1:16" x14ac:dyDescent="0.25">
      <c r="A52" s="379"/>
      <c r="B52" s="412" t="s">
        <v>317</v>
      </c>
      <c r="C52" s="324">
        <v>63443447.380000003</v>
      </c>
      <c r="D52" s="351">
        <f>17313.38+174</f>
        <v>17487.38</v>
      </c>
      <c r="E52" s="325">
        <f>12000000+1200000+1250000+48975960</f>
        <v>63425960</v>
      </c>
      <c r="F52" s="352">
        <v>12810000</v>
      </c>
      <c r="G52" s="328">
        <f>1116356+1640000</f>
        <v>2756356</v>
      </c>
      <c r="H52" s="330">
        <f>+E52-F52-G52</f>
        <v>47859604</v>
      </c>
      <c r="I52" s="381"/>
      <c r="J52" s="392"/>
      <c r="K52" s="381"/>
      <c r="L52" s="381"/>
      <c r="M52" s="381"/>
      <c r="N52" s="381"/>
      <c r="O52" s="381"/>
      <c r="P52" s="381"/>
    </row>
    <row r="53" spans="1:16" ht="38.25" x14ac:dyDescent="0.25">
      <c r="A53" s="379"/>
      <c r="B53" s="383" t="s">
        <v>288</v>
      </c>
      <c r="C53" s="332">
        <f>+C50+C51+C52</f>
        <v>75643447.379999995</v>
      </c>
      <c r="D53" s="353">
        <f t="shared" ref="D53:H53" si="4">+D50+D51+D52</f>
        <v>17487.38</v>
      </c>
      <c r="E53" s="333">
        <f t="shared" si="4"/>
        <v>75625960</v>
      </c>
      <c r="F53" s="354">
        <f t="shared" si="4"/>
        <v>16670000</v>
      </c>
      <c r="G53" s="336">
        <f t="shared" si="4"/>
        <v>6536356</v>
      </c>
      <c r="H53" s="338">
        <f t="shared" si="4"/>
        <v>52419604</v>
      </c>
      <c r="I53" s="381"/>
      <c r="J53" s="381"/>
      <c r="K53" s="381"/>
      <c r="L53" s="381"/>
      <c r="M53" s="381"/>
      <c r="N53" s="381"/>
      <c r="O53" s="381"/>
      <c r="P53" s="381"/>
    </row>
    <row r="54" spans="1:16" ht="15.75" thickBot="1" x14ac:dyDescent="0.3">
      <c r="A54" s="310"/>
      <c r="B54" s="384" t="s">
        <v>65</v>
      </c>
      <c r="C54" s="385"/>
      <c r="D54" s="400"/>
      <c r="E54" s="386"/>
      <c r="F54" s="401"/>
      <c r="G54" s="387"/>
      <c r="H54" s="388"/>
      <c r="I54" s="310"/>
      <c r="J54" s="310"/>
      <c r="K54" s="310"/>
      <c r="L54" s="310"/>
      <c r="M54" s="310"/>
      <c r="N54" s="310"/>
      <c r="O54" s="310"/>
      <c r="P54" s="310"/>
    </row>
    <row r="57" spans="1:16" ht="16.5" thickBot="1" x14ac:dyDescent="0.3">
      <c r="A57" s="310"/>
      <c r="B57" s="548" t="s">
        <v>305</v>
      </c>
      <c r="C57" s="548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</row>
    <row r="58" spans="1:16" x14ac:dyDescent="0.25">
      <c r="A58" s="310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</row>
    <row r="59" spans="1:16" ht="16.5" x14ac:dyDescent="0.25">
      <c r="A59" s="310"/>
      <c r="B59" s="361">
        <v>1</v>
      </c>
      <c r="C59" s="547" t="s">
        <v>306</v>
      </c>
      <c r="D59" s="547"/>
      <c r="E59" s="547"/>
      <c r="F59" s="547"/>
      <c r="G59" s="547"/>
      <c r="H59" s="547"/>
      <c r="I59" s="547"/>
      <c r="J59" s="547"/>
      <c r="K59" s="547"/>
      <c r="L59" s="547"/>
      <c r="M59" s="547"/>
      <c r="N59" s="547"/>
      <c r="O59" s="547"/>
      <c r="P59" s="547"/>
    </row>
    <row r="60" spans="1:16" x14ac:dyDescent="0.25">
      <c r="A60" s="310"/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</row>
    <row r="61" spans="1:16" ht="16.5" x14ac:dyDescent="0.25">
      <c r="A61" s="310"/>
      <c r="B61" s="361">
        <v>2</v>
      </c>
      <c r="C61" s="547" t="s">
        <v>307</v>
      </c>
      <c r="D61" s="547"/>
      <c r="E61" s="547"/>
      <c r="F61" s="547"/>
      <c r="G61" s="547"/>
      <c r="H61" s="547"/>
      <c r="I61" s="547"/>
      <c r="J61" s="547"/>
      <c r="K61" s="547"/>
      <c r="L61" s="547"/>
      <c r="M61" s="547"/>
      <c r="N61" s="547"/>
      <c r="O61" s="547"/>
      <c r="P61" s="547"/>
    </row>
    <row r="62" spans="1:16" x14ac:dyDescent="0.25">
      <c r="A62" s="310"/>
      <c r="B62" s="360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</row>
    <row r="63" spans="1:16" ht="15.75" x14ac:dyDescent="0.25">
      <c r="A63" s="310"/>
      <c r="B63" s="361">
        <v>3</v>
      </c>
      <c r="C63" s="549" t="s">
        <v>308</v>
      </c>
      <c r="D63" s="549"/>
      <c r="E63" s="549"/>
      <c r="F63" s="549"/>
      <c r="G63" s="549"/>
      <c r="H63" s="549"/>
      <c r="I63" s="549"/>
      <c r="J63" s="549"/>
      <c r="K63" s="549"/>
      <c r="L63" s="549"/>
      <c r="M63" s="549"/>
      <c r="N63" s="549"/>
      <c r="O63" s="549"/>
      <c r="P63" s="549"/>
    </row>
    <row r="64" spans="1:16" x14ac:dyDescent="0.25">
      <c r="A64" s="310"/>
      <c r="B64" s="360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</row>
    <row r="65" spans="2:16" ht="16.5" x14ac:dyDescent="0.25">
      <c r="B65" s="361">
        <v>4</v>
      </c>
      <c r="C65" s="547" t="s">
        <v>309</v>
      </c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</row>
    <row r="66" spans="2:16" x14ac:dyDescent="0.25"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</row>
    <row r="67" spans="2:16" x14ac:dyDescent="0.25">
      <c r="B67" s="360"/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</row>
  </sheetData>
  <mergeCells count="18">
    <mergeCell ref="B1:M1"/>
    <mergeCell ref="B2:M2"/>
    <mergeCell ref="B3:G3"/>
    <mergeCell ref="B8:B10"/>
    <mergeCell ref="C8:C9"/>
    <mergeCell ref="D8:H8"/>
    <mergeCell ref="I8:M8"/>
    <mergeCell ref="N8:O8"/>
    <mergeCell ref="B28:O28"/>
    <mergeCell ref="C35:C36"/>
    <mergeCell ref="D35:D36"/>
    <mergeCell ref="E35:H35"/>
    <mergeCell ref="B35:B37"/>
    <mergeCell ref="C65:P65"/>
    <mergeCell ref="B57:P57"/>
    <mergeCell ref="C59:P59"/>
    <mergeCell ref="C61:P61"/>
    <mergeCell ref="C63:P63"/>
  </mergeCells>
  <pageMargins left="0.31496062992125984" right="0.31496062992125984" top="0.15748031496062992" bottom="0" header="0.31496062992125984" footer="0.31496062992125984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tableau 2</vt:lpstr>
      <vt:lpstr>tableau 3</vt:lpstr>
      <vt:lpstr>tableau 4</vt:lpstr>
      <vt:lpstr>tableau 5</vt:lpstr>
      <vt:lpstr>tableau 6</vt:lpstr>
      <vt:lpstr>tableau 7</vt:lpstr>
      <vt:lpstr>tableau8</vt:lpstr>
      <vt:lpstr>TABLEAU9</vt:lpstr>
      <vt:lpstr>'tableau 2'!Zone_d_impression</vt:lpstr>
      <vt:lpstr>'tableau 3'!Zone_d_impression</vt:lpstr>
    </vt:vector>
  </TitlesOfParts>
  <Company>IUFM Nord - Pas de Calais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iufm</dc:creator>
  <cp:lastModifiedBy>sandra barbet</cp:lastModifiedBy>
  <cp:lastPrinted>2016-05-24T11:31:54Z</cp:lastPrinted>
  <dcterms:created xsi:type="dcterms:W3CDTF">2015-10-14T08:35:33Z</dcterms:created>
  <dcterms:modified xsi:type="dcterms:W3CDTF">2016-05-24T11:32:27Z</dcterms:modified>
</cp:coreProperties>
</file>